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15480" windowHeight="11580" tabRatio="880" activeTab="0"/>
  </bookViews>
  <sheets>
    <sheet name="5.5. План" sheetId="1" r:id="rId1"/>
    <sheet name="из плана развития обр" sheetId="2" r:id="rId2"/>
    <sheet name="2014" sheetId="3" r:id="rId3"/>
  </sheets>
  <definedNames>
    <definedName name="_xlnm._FilterDatabase" localSheetId="2" hidden="1">'2014'!$A$7:$T$118</definedName>
    <definedName name="_xlnm._FilterDatabase" localSheetId="1" hidden="1">'из плана развития обр'!$A$1:$E$19</definedName>
    <definedName name="_xlnm.Print_Area" localSheetId="2">'2014'!$A$1:$S$119</definedName>
    <definedName name="_xlnm.Print_Area" localSheetId="0">'5.5. План'!$A$1:$L$239</definedName>
    <definedName name="_xlnm.Print_Titles" localSheetId="2">'2014'!$7:$7</definedName>
    <definedName name="_xlnm.Print_Titles" localSheetId="0">'5.5. План'!$6:$7</definedName>
  </definedNames>
  <calcPr fullCalcOnLoad="1"/>
</workbook>
</file>

<file path=xl/comments3.xml><?xml version="1.0" encoding="utf-8"?>
<comments xmlns="http://schemas.openxmlformats.org/spreadsheetml/2006/main">
  <authors>
    <author>Мармылева</author>
    <author>Анциферова</author>
  </authors>
  <commentList>
    <comment ref="A100" authorId="0">
      <text>
        <r>
          <rPr>
            <b/>
            <sz val="8"/>
            <rFont val="Tahoma"/>
            <family val="0"/>
          </rPr>
          <t>перенести выше. пересчитать итог</t>
        </r>
      </text>
    </comment>
    <comment ref="P31" authorId="1">
      <text>
        <r>
          <rPr>
            <b/>
            <sz val="9"/>
            <rFont val="Tahoma"/>
            <family val="0"/>
          </rPr>
          <t>Анциферова:</t>
        </r>
        <r>
          <rPr>
            <sz val="9"/>
            <rFont val="Tahoma"/>
            <family val="0"/>
          </rPr>
          <t xml:space="preserve">
экономия 30,219
</t>
        </r>
      </text>
    </comment>
    <comment ref="P36" authorId="1">
      <text>
        <r>
          <rPr>
            <b/>
            <sz val="9"/>
            <rFont val="Tahoma"/>
            <family val="2"/>
          </rPr>
          <t>Анциферова:</t>
        </r>
        <r>
          <rPr>
            <sz val="9"/>
            <rFont val="Tahoma"/>
            <family val="2"/>
          </rPr>
          <t xml:space="preserve">
экономия 80,718</t>
        </r>
      </text>
    </comment>
    <comment ref="P40" authorId="1">
      <text>
        <r>
          <rPr>
            <b/>
            <sz val="9"/>
            <rFont val="Tahoma"/>
            <family val="0"/>
          </rPr>
          <t>Анциферова:</t>
        </r>
        <r>
          <rPr>
            <sz val="9"/>
            <rFont val="Tahoma"/>
            <family val="0"/>
          </rPr>
          <t xml:space="preserve">
экономия 0,82
</t>
        </r>
      </text>
    </comment>
    <comment ref="G49" authorId="1">
      <text>
        <r>
          <rPr>
            <b/>
            <sz val="9"/>
            <rFont val="Tahoma"/>
            <family val="0"/>
          </rPr>
          <t>Анциферова:</t>
        </r>
        <r>
          <rPr>
            <sz val="9"/>
            <rFont val="Tahoma"/>
            <family val="0"/>
          </rPr>
          <t xml:space="preserve">
экономия 0,625</t>
        </r>
      </text>
    </comment>
    <comment ref="G42" authorId="1">
      <text>
        <r>
          <rPr>
            <b/>
            <sz val="9"/>
            <rFont val="Tahoma"/>
            <family val="0"/>
          </rPr>
          <t>Анциферова:</t>
        </r>
        <r>
          <rPr>
            <sz val="9"/>
            <rFont val="Tahoma"/>
            <family val="0"/>
          </rPr>
          <t xml:space="preserve">
экономия 7,149</t>
        </r>
      </text>
    </comment>
  </commentList>
</comments>
</file>

<file path=xl/sharedStrings.xml><?xml version="1.0" encoding="utf-8"?>
<sst xmlns="http://schemas.openxmlformats.org/spreadsheetml/2006/main" count="595" uniqueCount="310">
  <si>
    <t>Направление, мероприятия</t>
  </si>
  <si>
    <t>Государственной программы "Развитие образования Мурманской области" на 2014-2020 годы</t>
  </si>
  <si>
    <t>№</t>
  </si>
  <si>
    <t>Мероприятие 1.1.2.2. "Подготовка экспертов для проведения оценочных процедур"</t>
  </si>
  <si>
    <t>Мероприятие 1.2.1.1. "Развитие сети учебно-производственных участков (полигонов)"</t>
  </si>
  <si>
    <t>Министерство образования и науки Мурманской области</t>
  </si>
  <si>
    <t>Количество лучших учителей, которым выплачено денежное поощрение, чел</t>
  </si>
  <si>
    <t>Всего</t>
  </si>
  <si>
    <t>Мероприятияе 1.2.2.5. "Поощрение лучших учителей"</t>
  </si>
  <si>
    <t>1.2.2.5.</t>
  </si>
  <si>
    <t>Количество обучающихся, получивших стипендии (чел.)</t>
  </si>
  <si>
    <t>Мероприятияе 1.2.2.4. "Выплата стипендий Правительства Российской Федерации для лиц, обучающихся по очной форме обучения по основным профессиональным образовательным программам начального профессионального и среднего профессионального образования, имеющим государственную аккредитацию, соответствующим приоритетным направлениям модернизации и технологического развития экономики Российской Федерации, в образовательных учреждениях профессионального образования, находящихся в ведении органов государственной власти субъекта Российской Федерации, и в муниципальных образовательных учреждениях профессионального образования"</t>
  </si>
  <si>
    <t>1.2.2.4.</t>
  </si>
  <si>
    <t>МОИПКРОиК</t>
  </si>
  <si>
    <t>Доля государственных областных профессиональных образовательных организаций, принимающих участие в
мероприятиях (%)</t>
  </si>
  <si>
    <t>Мероприятияе 1.2.2.3. "Организация и проведение областных конкурсов учебно-методических разработок для профессиональных образовательных организаций"</t>
  </si>
  <si>
    <t>1.2.2.3.</t>
  </si>
  <si>
    <t>Доля муниципальных образований Мурманской области, представивших своих претендентов на конкурс педагогических работников (%)</t>
  </si>
  <si>
    <t>Доля государственных областных профессиональных образовательных огранизаций, принимающих участие в
мероприятиях по проведению конкурсов профессионального мастерства среди мастеров производственного обучения, в мероприятиях по обмену опытом (%)</t>
  </si>
  <si>
    <t>Мероприятияе 1.2.2.2. "Проведение конкурсов профессионального мастерства педагогических работников, мастеров производственного обучения образовательных организаций Мурманской области, мероприятий по обмену опытом"</t>
  </si>
  <si>
    <t>1.2.2.2.</t>
  </si>
  <si>
    <t>ГАОУМОДОД "МОЦДОД "Лапландия"</t>
  </si>
  <si>
    <t>Мероприятияе 1.2.2.1. "Проведение конкурсов и олимпиад среди обучающихся и студентов профессиональных образовательных организаций, направление победителей региональных конкурсов профессионального мастерства на участие во всероссийских конкурсах, издание сборников работ по итогам мероприятий"</t>
  </si>
  <si>
    <t>1.2.2.1.</t>
  </si>
  <si>
    <t>Увеличение численности обучающихся и педагогических работников образовательных организаций, активно участвующих в творческо-профессиональной и учебно-методической деятельности, повышение привлекательности педагогической деятельности</t>
  </si>
  <si>
    <t>Основное мероприятие 1.2.2 "Развитие учебно-методической и творческо-профессиональной  составляющей  профессионального образования"</t>
  </si>
  <si>
    <t>1.2.2.</t>
  </si>
  <si>
    <t>Государственные областные профессиональные образовательные организации</t>
  </si>
  <si>
    <t>Количество созданных ресурсных центров
профессионального образования (ед.)</t>
  </si>
  <si>
    <t>Мероприятие 1.2.1.5. "Создание ресурсных центров профессионального образования, многофункциональных цетров прикладных квалификаций"</t>
  </si>
  <si>
    <t>1.2.1.5.</t>
  </si>
  <si>
    <t>Количество созданных центров сертификации профессиональных квалификаций (ед.)</t>
  </si>
  <si>
    <t>Мероприятие 1.2.1.4. "Создание центров сертификации профессиональных квалификаций"</t>
  </si>
  <si>
    <t>1.2.1.4</t>
  </si>
  <si>
    <t>Количество созданных центров содействия
трудоустройству выпускников в государственных областных профессиональных образовательных организациях (ед.)</t>
  </si>
  <si>
    <t>Мероприятие 1.2.1.3. "Создание центров содействия трудоустройству выпускников профессиональных образовательных организаций"</t>
  </si>
  <si>
    <t>1.2.1.3.</t>
  </si>
  <si>
    <t>ГАОУ МО СПО "Мурманский колледж экономики и информационных технологий"</t>
  </si>
  <si>
    <t>Количество созданных баз данных (ед.)</t>
  </si>
  <si>
    <t>Мероприятие 1.2.1.2. "Создание базы данных «Система профессионального образования Мурманской области»"</t>
  </si>
  <si>
    <t>1.2.1.2.</t>
  </si>
  <si>
    <t>Количество созданных учебно-производственных
участков (полигонов) в структуре государственных областных профессиональных образовательных организаций (ед.)</t>
  </si>
  <si>
    <t>1.2.1.1.</t>
  </si>
  <si>
    <t>Соответствие сети образовательных организаций  профессионального образования потребностям региональной экономики</t>
  </si>
  <si>
    <t>Основное мероприятие 1.2.1 "Формирование современной структуры сети профессиональных образовательных организаций, отражающей изменения в потребностях экономики и запросах населения и поддерживающей единое образовательное пространство"</t>
  </si>
  <si>
    <t>1.2.1.</t>
  </si>
  <si>
    <t>Задача 1.2 "Модернизация содержания и технологий профессионального образования для обеспечения их соответствия требованиям современной экономики и изменяющимся запросам населения"</t>
  </si>
  <si>
    <t>1.2.</t>
  </si>
  <si>
    <t>Количество государственных областных образовательных организаций дополнительного профессионального образования</t>
  </si>
  <si>
    <t>Мероприятие 1.1.2.3. "Содержание имущества государственных областных образовательных организаций дополнительного профессионального образования"</t>
  </si>
  <si>
    <t>1.1.2.3.</t>
  </si>
  <si>
    <t>Количество подготовленных экспертов (чел.)</t>
  </si>
  <si>
    <t>1.1.2.2.</t>
  </si>
  <si>
    <t>Среднегодовой контингент лиц, получивших дополнительное профессиональное образование (чел)</t>
  </si>
  <si>
    <t>Мероприятие 1.1.2.1. "Предоставление дополнительного профессионального образования в государственных областных образовательных организациях дополнительного профессионального образования: подготовка, переподготовка, повышение квалификации педагогических и руководящих работников, специалистов государственных областных и муниципальных образовательных организаций и учреждений системы образования, культуры и социального обслуживания населения, педагогических работников системы здравоохранения"</t>
  </si>
  <si>
    <t>1.1.2.1.</t>
  </si>
  <si>
    <t>Повышение  профессионального уровня преподавателей и управленческих кадров системы образования</t>
  </si>
  <si>
    <t>Основное мероприятие 1.1.2. «Переподготовка и повышение квалификации педагогических и управленческих кадров для системы образования»</t>
  </si>
  <si>
    <t>1.1.2.</t>
  </si>
  <si>
    <t>Комитет по культуре и искусству Мурманской области</t>
  </si>
  <si>
    <t>Количество руководителей ГОБОО СПО МКИ</t>
  </si>
  <si>
    <t>Мероприятие 1.1.1.9. "Предоставлении субсидии из централизованного фонда стимулирования руководителя государственного областного бюджетного образовательного учреждении среднего профессионального образования "Мурманский колледж искусств"</t>
  </si>
  <si>
    <t>1.1.1.9.</t>
  </si>
  <si>
    <t>Количество учреждений (ед.)</t>
  </si>
  <si>
    <t>1.1.1.8.</t>
  </si>
  <si>
    <t>Среднегодовой контингент обучающихся по программам ГОБОО СПО МКИ (чел.)</t>
  </si>
  <si>
    <t>Мероприятие 1.1.1.7. "Предоставление бесплатного среднего профессионального образования в государственном областном бюджетном образовательном учреждении среднего профессионального образования "Мурманский колледж искусств"</t>
  </si>
  <si>
    <t>1.1.1.7.</t>
  </si>
  <si>
    <t>Эффективность оздоровления, %</t>
  </si>
  <si>
    <t>Количество оздоровленных детей-сирот, детей, оставшихся без попечения родителей, обучающихся государственных областных профессиональных образовательных организаций</t>
  </si>
  <si>
    <t>1.1.1.6.</t>
  </si>
  <si>
    <t>Количество специалистов, получающих меры социальной поддержки (чел)</t>
  </si>
  <si>
    <t>1.1.1.5.</t>
  </si>
  <si>
    <t>Количество государственных областных профессиональных образовательных организаций</t>
  </si>
  <si>
    <t>1.1.1.4.</t>
  </si>
  <si>
    <t>Среднегодовой контингент обучающихся по программам профессиональной подготовки (чел)</t>
  </si>
  <si>
    <t>Доля выпускников, получивших свидетельство об уровне квалификации (не менее 70%)</t>
  </si>
  <si>
    <t>1.1.1.3.</t>
  </si>
  <si>
    <t>Среднегодовой контингент  обучающихся по программам СПО (чел)</t>
  </si>
  <si>
    <t>Мероприятие 1.1.1.2. "Предоставление бесплатного среднего профессионального образования в государственных областных профессинальных образовательных организациях на базе основного общего, среднего (полного) общего образования"</t>
  </si>
  <si>
    <t>1.1.1.2.</t>
  </si>
  <si>
    <t>Среднегодовой контингент обучающихся по программам НПО (чел)</t>
  </si>
  <si>
    <t>Доля выпускников, получивших установленные и повышенные разряды (не менее 90%)</t>
  </si>
  <si>
    <t>1.1.1.1.</t>
  </si>
  <si>
    <t xml:space="preserve">  Обеспечение предприятий региона кадрами со средним профессиональным образованием в соответствии с их запросами и обеспечение  реализации государственных гарантий на получение общедоступного среднего профессионального образования</t>
  </si>
  <si>
    <t>Основное мероприятие 1.1.1. «Реализация образовательных программ среднего профессионального образования и профессионального обучения на основе государственного задания с учетом выхода на эффективный контракт с педагогическими работниками»</t>
  </si>
  <si>
    <t>1.1.1.</t>
  </si>
  <si>
    <t>Задача 1.1 "Формирование структуры подготовки и повышения квалификации  кадров, востребованных на региональном рынке труда"</t>
  </si>
  <si>
    <t>1.1.</t>
  </si>
  <si>
    <t>Подпрограмма 1 "Развитие профессионального образования"</t>
  </si>
  <si>
    <t>1.</t>
  </si>
  <si>
    <t>Показатель результативности 2</t>
  </si>
  <si>
    <t>Показатель результативности 1</t>
  </si>
  <si>
    <t>ВБС</t>
  </si>
  <si>
    <t>МБ</t>
  </si>
  <si>
    <t>ФБ</t>
  </si>
  <si>
    <t>ОБ</t>
  </si>
  <si>
    <t>По годам реализации</t>
  </si>
  <si>
    <t>Соисполнители, участники, исполнители</t>
  </si>
  <si>
    <t xml:space="preserve">Ожидаемые конечные результаты и показатели результативности выполнения  мероприятий </t>
  </si>
  <si>
    <t>Объемы и источники финансирования (тыс. руб.)</t>
  </si>
  <si>
    <t xml:space="preserve"> Срок выполнения</t>
  </si>
  <si>
    <t>Государственная программа, подпрограмма, основное мероприятие, мероприятие</t>
  </si>
  <si>
    <t xml:space="preserve"> № п/п</t>
  </si>
  <si>
    <t>План реализации подпрограммы "Развитие профессионального образования"</t>
  </si>
  <si>
    <t>к государственной программе</t>
  </si>
  <si>
    <t>Приложение 5.5</t>
  </si>
  <si>
    <t>в течение года</t>
  </si>
  <si>
    <t>Региональный конкурс мастеров производственного обучения образовательных учреждений среднего профессионального образования Мурманской области, реализующих программы начального профессионального образования "Мастер года-2013"</t>
  </si>
  <si>
    <t>ГБОУДПО "МОИПКРОиК</t>
  </si>
  <si>
    <t>май</t>
  </si>
  <si>
    <t xml:space="preserve">Организация и проведение областных конкурсов учебно-методических разработок для ОУ ПО, интернет-форума «Компетентный преподаватель – компетентный специалист» </t>
  </si>
  <si>
    <t>ГБОУ ДПО "МОИПКРОиК"</t>
  </si>
  <si>
    <t>октябрь</t>
  </si>
  <si>
    <t>Проведение олимпиад среди обучающихся и студентов ОУ ПО, конкурсов профессионального мастерства среди обучающихся, студентов, мастеров производственного обучения, направление победителей региональных конкурсов профессионального мастерства на участие во всероссийских конкурсах, издание сборников работ по итогам мероприятий</t>
  </si>
  <si>
    <t>ГАОУ МО СПО "Мурманский индустриальный колледж"</t>
  </si>
  <si>
    <t>1 квартал</t>
  </si>
  <si>
    <t>ГАОУ МО СПО «Полярнозоринский энергетический колледж»</t>
  </si>
  <si>
    <t>3 квартал</t>
  </si>
  <si>
    <t>Развитие сети учебно-производственных участков (полигонов) в структуре ОУ</t>
  </si>
  <si>
    <t>ГАОУ МО СПО «Кандалакшский индустриальный колледж»</t>
  </si>
  <si>
    <t>2 квартал</t>
  </si>
  <si>
    <t>ГАОУ МО СПО «Северный национальный колледж»</t>
  </si>
  <si>
    <t>Создание центров содействия трудоустройству выпускников</t>
  </si>
  <si>
    <t>Создание центров сертификации профессиональных квалификаций</t>
  </si>
  <si>
    <t>ГАОУ МО СПО "Мончегорский технологический колледж"</t>
  </si>
  <si>
    <t>Создание ресурсных центров профессионального образования</t>
  </si>
  <si>
    <t>ГБОУ МО СПО "Мурманский колледж экономики и информационных технологий"</t>
  </si>
  <si>
    <t>2-3 квартал</t>
  </si>
  <si>
    <t>Модернизация программно-технических средств образовательных учреждений</t>
  </si>
  <si>
    <t>2-4 квартал</t>
  </si>
  <si>
    <t>ГАОУ МО СПО «Кольский агропромышленный колледж»</t>
  </si>
  <si>
    <t>ГАОУ МО СПО "Печенгский политехнический техникум"</t>
  </si>
  <si>
    <t>ГАОУ МО СПО "Мурманский строительный колледж им.Н.Е.Момота"</t>
  </si>
  <si>
    <t>ГБОУ МО СПО "Северный колледж физической культуры и спорта"</t>
  </si>
  <si>
    <t>ГАОУ МО СПО "Мурманский технологический колледж сервиса"</t>
  </si>
  <si>
    <t>ГАОУ МО СПО "Ковдорский политехнический колледж"</t>
  </si>
  <si>
    <t>Мероприятие 1.1.1.1."Предоставление бесплатного начального профессионального образования в государственных областных профессиональных образовательных организациях на базе основного общего, среднего (полного) общего образования"</t>
  </si>
  <si>
    <t>Мероприятие 1.1.1.3."Предоставление бесплатной профессиональной подготовки выпускникам коррекционных образовательных организаций"</t>
  </si>
  <si>
    <t>Мероприятие 1.1.1.4."Содержание имущества государственных областных профессиональных образовательных организаций"</t>
  </si>
  <si>
    <t>Мероприятие 1.1.1.5."Предоставление мер социальной поддержки по оплате жилья и коммунальных услуг отдельным категориям граждан, работающим в сельских населенных пунктах или поселках городского типа"</t>
  </si>
  <si>
    <t>Мероприятие 1.1.1.6."Отдых и охдоровление детей-сирот, детей, оставшихся без попечения родителей, обучающихся государственных областных профессиональных образовательных организаций"</t>
  </si>
  <si>
    <t>Мероприятие 1.1.1.8."Содержание имущества государственного областного бюджетного образовательного учреждении среднего профессионального образования "Мурманский колледж искусств"</t>
  </si>
  <si>
    <t>июнь-август</t>
  </si>
  <si>
    <t>декабрь</t>
  </si>
  <si>
    <t>ГАОУ СПО МО "СКФКиС"</t>
  </si>
  <si>
    <t>ГАОУ МО СПО "АПК"</t>
  </si>
  <si>
    <t>ГАОУ МО СПО "КАПК"</t>
  </si>
  <si>
    <t>ГАОУ МО СПО "КИК"</t>
  </si>
  <si>
    <t>ГАОУ МО СПО "КПК"</t>
  </si>
  <si>
    <t>ГАОУ МО СПО "МИК"</t>
  </si>
  <si>
    <t>ГАОУ МО СПО "МТКС"</t>
  </si>
  <si>
    <t>ГАОУ МО СПО "МПК"</t>
  </si>
  <si>
    <t>ГАОУ МО СПО "ПЭК"</t>
  </si>
  <si>
    <t>ГАОУ МО СПО "СТК"</t>
  </si>
  <si>
    <t>ГАОУ МО СПО "СНК"</t>
  </si>
  <si>
    <t>ГАОУ МО СПО "МСК"</t>
  </si>
  <si>
    <t>ГАОУ МО СПО "ОГПК"</t>
  </si>
  <si>
    <t>ГАОУ МО СПО "ППТ"</t>
  </si>
  <si>
    <t>ГАОУ СПО МО "МПК"</t>
  </si>
  <si>
    <t>ГАОУ СПО МО "СТК"</t>
  </si>
  <si>
    <t>ГАОУ СПО МО "КИК"</t>
  </si>
  <si>
    <t>ГАОУ СПО МО "МСК"</t>
  </si>
  <si>
    <t>ГАОУ СПО МО "МТКС"</t>
  </si>
  <si>
    <t xml:space="preserve">апрель </t>
  </si>
  <si>
    <t>август</t>
  </si>
  <si>
    <t xml:space="preserve">сентябрь </t>
  </si>
  <si>
    <t xml:space="preserve">октябрь </t>
  </si>
  <si>
    <t xml:space="preserve">июнь </t>
  </si>
  <si>
    <t xml:space="preserve">ноябрь </t>
  </si>
  <si>
    <t xml:space="preserve">март </t>
  </si>
  <si>
    <t xml:space="preserve">май </t>
  </si>
  <si>
    <t>ГАОУ МО СПО "МонПК"</t>
  </si>
  <si>
    <t>февраль</t>
  </si>
  <si>
    <t>февраль-декабрь</t>
  </si>
  <si>
    <t>Содержание имущества государственных областных профессиональных образовательных организаций</t>
  </si>
  <si>
    <t>Предоставление мер социальной поддержки по оплате жилья и коммунальных услуг отдельным категориям граждан, работающим в сельских населенных пунктах или поселках городского типа</t>
  </si>
  <si>
    <t>Предоставление дополнительного профессионального образования в государственных областных образовательных организациях дополнительного профессионального образования: подготовка, переподготовка, повышение квалификации педагогических и руководящих работников, специалистов государственных областных и муниципальных образовательных организаций и учреждений системы образования, культуры и социального обслуживания населения, педагогических работников системы здравоохранения"</t>
  </si>
  <si>
    <t>Подготовка экспертов для проведения оценочных процедур</t>
  </si>
  <si>
    <t>Содержание имущества государственных областных образовательных организаций дополнительного профессионального образования</t>
  </si>
  <si>
    <t>Создание центров содействия трудоустройству выпускников профессиональных образовательных организаций</t>
  </si>
  <si>
    <t>1.2.1.4.</t>
  </si>
  <si>
    <t>Создание ресурсных центров профессионального образования, многофункциональных цетров прикладных квалификаций</t>
  </si>
  <si>
    <t>Организация и проведение областных конкурсов учебно-методических разработок для профессиональных образовательных организаций</t>
  </si>
  <si>
    <t>Способ размещения закупки</t>
  </si>
  <si>
    <t>ГАОУ СПО МО "МИК"</t>
  </si>
  <si>
    <t xml:space="preserve">1.2.2.1. </t>
  </si>
  <si>
    <t>Проведение конкурсов и олимпиад среди обучающихся и студентов профессиональных образовательных организаций, направление победителей региональных конкурсов профессионального мастерства на участие во всероссийских конкурсах, издание сборников работ по итогам мероприятий</t>
  </si>
  <si>
    <t>Проведение конкурсов профессионального мастерства педагогических работников, мастеров производственного обучения образовательных организаций Мурманской области, мероприятий по обмену опытом</t>
  </si>
  <si>
    <t>Выплата стипендий Правительства Российской Федерации для лиц, обучающихся по очной форме обучения по основным профессиональным образовательным программам начального профессионального и среднего профессионального образования, имеющим государственную аккредитацию, соответствующим приоритетным направлениям модернизации и технологического развития экономики Российской Федерации, в образовательных учреждениях профессионального образования, находящихся в ведении органов государственной власти субъекта Российской Федерации, и в муниципальных образовательных учреждениях профессионального образования</t>
  </si>
  <si>
    <t>Поощрение лучших учителей</t>
  </si>
  <si>
    <t>Развитие профессионального образования</t>
  </si>
  <si>
    <t>Региональный конкурс профессионального мастерства по программам подготовки квалифицированных рабочих (служащих)</t>
  </si>
  <si>
    <t>Региональный конкурс профессионального мастерства по программам подготовки специалистов среднего звена</t>
  </si>
  <si>
    <t>Мероприятия по международному сотрудничеству в сфере образования</t>
  </si>
  <si>
    <t>Областной конкурс  «Учитель года Мурманской области – 2014г»</t>
  </si>
  <si>
    <t>Подготовка к участию победителей региональных этапов всероссийских конкурсов профессионального мастерства для участия в федеральных  конкурсных отборах</t>
  </si>
  <si>
    <t>Направление победителей профессиональных конкурсов  для участия в федеральных мероприятиях (субсидия ОУ)</t>
  </si>
  <si>
    <t>Областной конкурс на лучшую методическую разработку организации профилактической работы в образовательной  организации</t>
  </si>
  <si>
    <t>Региональный этап всероссийского конкурса «За нравственный подвиг учителя»</t>
  </si>
  <si>
    <t xml:space="preserve">Областной конкурс педагогических работников,  посвященный Дню русского языка </t>
  </si>
  <si>
    <t>Региональный этап всероссийского конкурса "Сердце отдаю детям"</t>
  </si>
  <si>
    <t>Региональный этап всероссийского конкурса "Воспитать человека"</t>
  </si>
  <si>
    <t>Основное мероприятие "Реализация образовательных программ среднего профессионального образования и профессионального обучения на основе государственного задания с учетом выхода на эффективный контракт с педагогическими работниками"</t>
  </si>
  <si>
    <t>Основное мероприятие "Переподготовка и повышение квалификации педагогических и управленческих кадров для системы образования"</t>
  </si>
  <si>
    <t>Основное мероприятие "Формирование современной структуры сети государственных областных профессиональных образовательных организаций, отражающей изменения в потребностях экономики и запросах населения и поддерживающей единое образовательное пространство"</t>
  </si>
  <si>
    <t>Основное мероприятие "Развитие учебно-методической и творческо-профессиональной  составляющей  профессионального образования"</t>
  </si>
  <si>
    <t>1.2.2.2.1.</t>
  </si>
  <si>
    <t>1.2.2.2.2</t>
  </si>
  <si>
    <t>1.2.2.2.3.</t>
  </si>
  <si>
    <t>1.2.2.2.4.</t>
  </si>
  <si>
    <t>1.2.2.2.5.</t>
  </si>
  <si>
    <t>1.2.2.2.6.</t>
  </si>
  <si>
    <t>1.2.2.2.7.</t>
  </si>
  <si>
    <t>1.2.2.2.8.</t>
  </si>
  <si>
    <t>1.2.2.2.9.</t>
  </si>
  <si>
    <t>1.2.2.2.10.</t>
  </si>
  <si>
    <t>1.2.2.2.11.</t>
  </si>
  <si>
    <t>1.2.2.2.12.</t>
  </si>
  <si>
    <t>1.2.2.2.13.</t>
  </si>
  <si>
    <t>1.2.2.2.14.</t>
  </si>
  <si>
    <t>ГАУДПО  МО "ИРО"</t>
  </si>
  <si>
    <t>МОиН МО</t>
  </si>
  <si>
    <t>КБК</t>
  </si>
  <si>
    <t xml:space="preserve">804 07 04 0210005 621 241 </t>
  </si>
  <si>
    <t>804 10 03 0211324 622 241</t>
  </si>
  <si>
    <t>804 07 07 0212011 622 241</t>
  </si>
  <si>
    <t>804 07 09 0210005 622 241</t>
  </si>
  <si>
    <t>Развитие сети учебно-производственных участков (полигонов)</t>
  </si>
  <si>
    <t>Сроки освоения средств</t>
  </si>
  <si>
    <t>июль</t>
  </si>
  <si>
    <t>Направление победителей конкурсов для участия во всероссийских мероприятиях</t>
  </si>
  <si>
    <t>Конкурс педагогических работников ДОУ</t>
  </si>
  <si>
    <t xml:space="preserve">Конкурс педагогических работников общеобразовательных организаций </t>
  </si>
  <si>
    <t>Конкурс "Лучший детский сад года - 2014"</t>
  </si>
  <si>
    <t>Областной конкурс "Педагог-психолог 2014"</t>
  </si>
  <si>
    <t>Региональный конкурс мастеров производственного обучения образовательных учреждений среднего профессионального образования "Мастер года — 2014"</t>
  </si>
  <si>
    <t>ГАУ ДПО ИРО</t>
  </si>
  <si>
    <t>аукцион в электронной форме</t>
  </si>
  <si>
    <t>единственный поставщик</t>
  </si>
  <si>
    <t>1.2.2.1.1.</t>
  </si>
  <si>
    <t>1.2.2.1.2.</t>
  </si>
  <si>
    <t>1.2.2.1.3.</t>
  </si>
  <si>
    <t>1.2.2.1.4.</t>
  </si>
  <si>
    <t>804 07 05 0210005 621 241</t>
  </si>
  <si>
    <t>Получатель  средств</t>
  </si>
  <si>
    <t>Всего  по программе, тыс.руб.</t>
  </si>
  <si>
    <t>Код мероприятия</t>
  </si>
  <si>
    <t>80410203003</t>
  </si>
  <si>
    <t>80410204005</t>
  </si>
  <si>
    <t>80410213004</t>
  </si>
  <si>
    <t>02.1.00004</t>
  </si>
  <si>
    <t>02.1.00005</t>
  </si>
  <si>
    <t>нераспределенные средства</t>
  </si>
  <si>
    <t>02.1.00006</t>
  </si>
  <si>
    <t>80410210012</t>
  </si>
  <si>
    <t>02.1.00011</t>
  </si>
  <si>
    <t>02.1.00012</t>
  </si>
  <si>
    <t>02.1.00013</t>
  </si>
  <si>
    <t>02.1.00015</t>
  </si>
  <si>
    <t>02.1.00016</t>
  </si>
  <si>
    <t>02.1.00017</t>
  </si>
  <si>
    <t>02.1.00018</t>
  </si>
  <si>
    <t>02.1.00019</t>
  </si>
  <si>
    <t>02.1.00020</t>
  </si>
  <si>
    <t>1.2.1.1.1</t>
  </si>
  <si>
    <t>1.2.1.1</t>
  </si>
  <si>
    <t>запрос котировок</t>
  </si>
  <si>
    <t>804 07 09 0212999622 244</t>
  </si>
  <si>
    <t>Приложение № 1  к приказу Министерства образования и науки Мурманской области       от ____________ № _________</t>
  </si>
  <si>
    <t>январь-ноябрь</t>
  </si>
  <si>
    <t>потребность +1,822</t>
  </si>
  <si>
    <t>Выплата стипендии обучающимся по очной форме обучения в учреждениях среднего профессионального образования</t>
  </si>
  <si>
    <t>1.1.1.5</t>
  </si>
  <si>
    <t>804 07 04 0211380 622 241</t>
  </si>
  <si>
    <t>02.1.00023</t>
  </si>
  <si>
    <t>ГАОУ МО СПО "ММК"</t>
  </si>
  <si>
    <t>ГАОУ МО СПО ППТ</t>
  </si>
  <si>
    <t>ГАОУ МО СПО "КМК"</t>
  </si>
  <si>
    <t>ГАОУ МО СПО "МТЭТ"</t>
  </si>
  <si>
    <t>ГАОУ МО СПО "МКЭИТ"</t>
  </si>
  <si>
    <t>ГАОУ МО СПО "СКФКиС"</t>
  </si>
  <si>
    <t>Отдых и оздоровление детей-сирот, детей, оставшихся без попечения родителей, обучающихся государственных областных профессиональных образовательных организаций (дети, находящиеся в трудной жизненной ситуации)</t>
  </si>
  <si>
    <t>804 07 04 0213893 340 290</t>
  </si>
  <si>
    <t>ноябрь</t>
  </si>
  <si>
    <t>804 07 02 0215088 350 290</t>
  </si>
  <si>
    <t>Реализация основных профессиональных образовательных программ среднего профессионального образования по программам подготовки квалифицированных рабочих (служащих) в образовательных организациях</t>
  </si>
  <si>
    <t>Реализация основных профессиональных образовательных программ среднего профессионального образования по программам подготовки специалистов среднего звена в образовательных организациях  (заочная форма обучения)</t>
  </si>
  <si>
    <t>Реализация основных профессиональных образовательных программ среднего профессионального образования по программам подготовки специалистов среднего звена в образовательных организациях  (очная форма обучения)</t>
  </si>
  <si>
    <t xml:space="preserve">Предоставление бесплатной профессинольной подготовки выпускникам образовательных организаций с ограниченными возможностями здоровья (с различными формами умственной отсталости), не имеющим основного общего или среднего общего образования </t>
  </si>
  <si>
    <t>1.1.1.8.1.</t>
  </si>
  <si>
    <t>1.1.1.8.2</t>
  </si>
  <si>
    <t>1.1.1.8.3</t>
  </si>
  <si>
    <t>1.1.1.8.4</t>
  </si>
  <si>
    <t>1.1.1.8.5</t>
  </si>
  <si>
    <t>1.1.1.8.6</t>
  </si>
  <si>
    <t>1.1.1.8.7</t>
  </si>
  <si>
    <t>1.1.1.8.8</t>
  </si>
  <si>
    <t>1.1.1.8.9</t>
  </si>
  <si>
    <t>1.1.1.8.10</t>
  </si>
  <si>
    <t>1.1.1.8.11</t>
  </si>
  <si>
    <t>1.1.1.8.12</t>
  </si>
  <si>
    <t>1.1.1.8.13</t>
  </si>
  <si>
    <t>1.1.1.8.14</t>
  </si>
  <si>
    <t>ГАПОУ МО "ММК"</t>
  </si>
  <si>
    <t>Распределение средств областного бюджета, предусмотренных в 2014 году на реализацию подпрограммы:</t>
  </si>
  <si>
    <t>1.2.1.5.1.</t>
  </si>
  <si>
    <t>1.2.1.5.2.</t>
  </si>
  <si>
    <t>1.2.1.5.3</t>
  </si>
  <si>
    <t>октябрь-декабрь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</si>
</sst>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0"/>
    <numFmt numFmtId="170" formatCode="#,##0.0"/>
    <numFmt numFmtId="171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</cellStyleXfs>
  <cellXfs count="11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0" fontId="51" fillId="0" borderId="0" xfId="0" applyFont="1" applyFill="1" applyAlignment="1">
      <alignment/>
    </xf>
    <xf numFmtId="164" fontId="0" fillId="0" borderId="0" xfId="0" applyNumberFormat="1" applyFill="1" applyAlignment="1">
      <alignment vertical="center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164" fontId="52" fillId="0" borderId="0" xfId="0" applyNumberFormat="1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164" fontId="0" fillId="0" borderId="0" xfId="0" applyNumberFormat="1" applyFont="1" applyFill="1" applyAlignment="1">
      <alignment vertical="top" wrapText="1"/>
    </xf>
    <xf numFmtId="170" fontId="10" fillId="33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171" fontId="10" fillId="0" borderId="10" xfId="0" applyNumberFormat="1" applyFont="1" applyFill="1" applyBorder="1" applyAlignment="1">
      <alignment horizontal="center" vertical="center"/>
    </xf>
    <xf numFmtId="169" fontId="10" fillId="0" borderId="10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164" fontId="10" fillId="34" borderId="10" xfId="0" applyNumberFormat="1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71" fontId="10" fillId="34" borderId="1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64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164" fontId="10" fillId="35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9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6" sqref="A6:A7"/>
    </sheetView>
  </sheetViews>
  <sheetFormatPr defaultColWidth="9.140625" defaultRowHeight="15"/>
  <cols>
    <col min="1" max="1" width="6.57421875" style="4" customWidth="1"/>
    <col min="2" max="2" width="32.28125" style="5" customWidth="1"/>
    <col min="3" max="3" width="9.140625" style="6" customWidth="1"/>
    <col min="4" max="4" width="8.8515625" style="7" customWidth="1"/>
    <col min="5" max="5" width="11.28125" style="8" customWidth="1"/>
    <col min="6" max="6" width="12.57421875" style="8" customWidth="1"/>
    <col min="7" max="9" width="10.140625" style="8" customWidth="1"/>
    <col min="10" max="10" width="15.7109375" style="7" customWidth="1"/>
    <col min="11" max="11" width="15.7109375" style="6" customWidth="1"/>
    <col min="12" max="12" width="15.28125" style="6" customWidth="1"/>
    <col min="13" max="16384" width="9.140625" style="6" customWidth="1"/>
  </cols>
  <sheetData>
    <row r="1" s="1" customFormat="1" ht="15">
      <c r="L1" s="2" t="s">
        <v>106</v>
      </c>
    </row>
    <row r="2" spans="6:12" s="1" customFormat="1" ht="15.75">
      <c r="F2" s="3"/>
      <c r="L2" s="2" t="s">
        <v>105</v>
      </c>
    </row>
    <row r="3" ht="9" customHeight="1"/>
    <row r="4" spans="1:12" ht="15.75">
      <c r="A4" s="100" t="s">
        <v>104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ht="15">
      <c r="F5" s="9"/>
    </row>
    <row r="6" spans="1:12" ht="21.75" customHeight="1">
      <c r="A6" s="97" t="s">
        <v>103</v>
      </c>
      <c r="B6" s="89" t="s">
        <v>102</v>
      </c>
      <c r="C6" s="86" t="s">
        <v>101</v>
      </c>
      <c r="D6" s="86" t="s">
        <v>100</v>
      </c>
      <c r="E6" s="86"/>
      <c r="F6" s="86"/>
      <c r="G6" s="86"/>
      <c r="H6" s="86"/>
      <c r="I6" s="86"/>
      <c r="J6" s="103" t="s">
        <v>99</v>
      </c>
      <c r="K6" s="104"/>
      <c r="L6" s="86" t="s">
        <v>98</v>
      </c>
    </row>
    <row r="7" spans="1:12" ht="24" customHeight="1">
      <c r="A7" s="97"/>
      <c r="B7" s="102"/>
      <c r="C7" s="86"/>
      <c r="D7" s="10" t="s">
        <v>97</v>
      </c>
      <c r="E7" s="11" t="s">
        <v>7</v>
      </c>
      <c r="F7" s="11" t="s">
        <v>96</v>
      </c>
      <c r="G7" s="11" t="s">
        <v>95</v>
      </c>
      <c r="H7" s="11" t="s">
        <v>94</v>
      </c>
      <c r="I7" s="11" t="s">
        <v>93</v>
      </c>
      <c r="J7" s="10" t="s">
        <v>92</v>
      </c>
      <c r="K7" s="10" t="s">
        <v>91</v>
      </c>
      <c r="L7" s="86"/>
    </row>
    <row r="8" spans="1:12" ht="12.75" customHeight="1">
      <c r="A8" s="97" t="s">
        <v>90</v>
      </c>
      <c r="B8" s="99" t="s">
        <v>89</v>
      </c>
      <c r="C8" s="86"/>
      <c r="D8" s="10" t="s">
        <v>7</v>
      </c>
      <c r="E8" s="12">
        <f>SUM(F8:I8)</f>
        <v>11471263.409701802</v>
      </c>
      <c r="F8" s="12">
        <f>SUM(F9:F15)</f>
        <v>11471263.409701802</v>
      </c>
      <c r="G8" s="12">
        <f>SUM(G9:G15)</f>
        <v>0</v>
      </c>
      <c r="H8" s="12">
        <f>SUM(H9:H15)</f>
        <v>0</v>
      </c>
      <c r="I8" s="12">
        <f>SUM(I9:I15)</f>
        <v>0</v>
      </c>
      <c r="J8" s="98"/>
      <c r="K8" s="98"/>
      <c r="L8" s="86"/>
    </row>
    <row r="9" spans="1:12" ht="12.75" customHeight="1">
      <c r="A9" s="97"/>
      <c r="B9" s="99"/>
      <c r="C9" s="86"/>
      <c r="D9" s="10">
        <v>2014</v>
      </c>
      <c r="E9" s="13">
        <f>SUM(F9:I9)</f>
        <v>1486926.9</v>
      </c>
      <c r="F9" s="13">
        <f aca="true" t="shared" si="0" ref="F9:I15">F17+F137</f>
        <v>1486926.9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98"/>
      <c r="K9" s="98"/>
      <c r="L9" s="86"/>
    </row>
    <row r="10" spans="1:12" ht="12.75" customHeight="1">
      <c r="A10" s="97"/>
      <c r="B10" s="99"/>
      <c r="C10" s="86"/>
      <c r="D10" s="10">
        <v>2015</v>
      </c>
      <c r="E10" s="13">
        <f aca="true" t="shared" si="1" ref="E10:E15">SUM(F10:I10)</f>
        <v>1554071.3967000002</v>
      </c>
      <c r="F10" s="13">
        <f t="shared" si="0"/>
        <v>1554071.3967000002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98"/>
      <c r="K10" s="98"/>
      <c r="L10" s="86"/>
    </row>
    <row r="11" spans="1:12" ht="12.75" customHeight="1">
      <c r="A11" s="97"/>
      <c r="B11" s="99"/>
      <c r="C11" s="86"/>
      <c r="D11" s="10">
        <v>2016</v>
      </c>
      <c r="E11" s="13">
        <f t="shared" si="1"/>
        <v>1615840.0005688402</v>
      </c>
      <c r="F11" s="13">
        <f t="shared" si="0"/>
        <v>1615840.0005688402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98"/>
      <c r="K11" s="98"/>
      <c r="L11" s="86"/>
    </row>
    <row r="12" spans="1:12" ht="12.75" customHeight="1">
      <c r="A12" s="97"/>
      <c r="B12" s="99"/>
      <c r="C12" s="86"/>
      <c r="D12" s="10">
        <v>2017</v>
      </c>
      <c r="E12" s="13">
        <f t="shared" si="1"/>
        <v>1666993.1677308164</v>
      </c>
      <c r="F12" s="13">
        <f t="shared" si="0"/>
        <v>1666993.1677308164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98"/>
      <c r="K12" s="98"/>
      <c r="L12" s="86"/>
    </row>
    <row r="13" spans="1:12" ht="12.75" customHeight="1">
      <c r="A13" s="97"/>
      <c r="B13" s="99"/>
      <c r="C13" s="86"/>
      <c r="D13" s="10">
        <v>2018</v>
      </c>
      <c r="E13" s="13">
        <f t="shared" si="1"/>
        <v>1661695.7036950404</v>
      </c>
      <c r="F13" s="13">
        <f t="shared" si="0"/>
        <v>1661695.7036950404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98"/>
      <c r="K13" s="98"/>
      <c r="L13" s="86"/>
    </row>
    <row r="14" spans="1:12" ht="12.75" customHeight="1">
      <c r="A14" s="97"/>
      <c r="B14" s="99"/>
      <c r="C14" s="86"/>
      <c r="D14" s="10">
        <v>2019</v>
      </c>
      <c r="E14" s="13">
        <f t="shared" si="1"/>
        <v>1715061.9434180371</v>
      </c>
      <c r="F14" s="13">
        <f t="shared" si="0"/>
        <v>1715061.9434180371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98"/>
      <c r="K14" s="98"/>
      <c r="L14" s="86"/>
    </row>
    <row r="15" spans="1:12" ht="12.75" customHeight="1">
      <c r="A15" s="97"/>
      <c r="B15" s="99"/>
      <c r="C15" s="86"/>
      <c r="D15" s="10">
        <v>2020</v>
      </c>
      <c r="E15" s="13">
        <f t="shared" si="1"/>
        <v>1770674.2975890671</v>
      </c>
      <c r="F15" s="13">
        <f t="shared" si="0"/>
        <v>1770674.2975890671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98"/>
      <c r="K15" s="98"/>
      <c r="L15" s="86"/>
    </row>
    <row r="16" spans="1:12" ht="12.75" customHeight="1">
      <c r="A16" s="97" t="s">
        <v>88</v>
      </c>
      <c r="B16" s="85" t="s">
        <v>87</v>
      </c>
      <c r="C16" s="97"/>
      <c r="D16" s="10" t="s">
        <v>7</v>
      </c>
      <c r="E16" s="12">
        <f>SUM(F16:I16)</f>
        <v>11381942.388901802</v>
      </c>
      <c r="F16" s="12">
        <f>SUM(F17:F23)</f>
        <v>11381942.388901802</v>
      </c>
      <c r="G16" s="12">
        <f>SUM(G17:G23)</f>
        <v>0</v>
      </c>
      <c r="H16" s="12">
        <f>SUM(H17:H23)</f>
        <v>0</v>
      </c>
      <c r="I16" s="12">
        <f>SUM(I17:I23)</f>
        <v>0</v>
      </c>
      <c r="J16" s="98"/>
      <c r="K16" s="98"/>
      <c r="L16" s="86"/>
    </row>
    <row r="17" spans="1:12" ht="12.75" customHeight="1">
      <c r="A17" s="97"/>
      <c r="B17" s="85"/>
      <c r="C17" s="97"/>
      <c r="D17" s="10">
        <v>2014</v>
      </c>
      <c r="E17" s="13">
        <f>SUM(F17:I17)</f>
        <v>1477536.9</v>
      </c>
      <c r="F17" s="13">
        <f aca="true" t="shared" si="2" ref="F17:I23">F25+F105</f>
        <v>1477536.9</v>
      </c>
      <c r="G17" s="13">
        <f>G25+G105</f>
        <v>0</v>
      </c>
      <c r="H17" s="13">
        <f t="shared" si="2"/>
        <v>0</v>
      </c>
      <c r="I17" s="13">
        <f t="shared" si="2"/>
        <v>0</v>
      </c>
      <c r="J17" s="98"/>
      <c r="K17" s="98"/>
      <c r="L17" s="86"/>
    </row>
    <row r="18" spans="1:12" ht="12.75" customHeight="1">
      <c r="A18" s="97"/>
      <c r="B18" s="85"/>
      <c r="C18" s="97"/>
      <c r="D18" s="10">
        <v>2015</v>
      </c>
      <c r="E18" s="13">
        <f aca="true" t="shared" si="3" ref="E18:E23">SUM(F18:I18)</f>
        <v>1544273.3967000002</v>
      </c>
      <c r="F18" s="13">
        <f t="shared" si="2"/>
        <v>1544273.3967000002</v>
      </c>
      <c r="G18" s="13">
        <f t="shared" si="2"/>
        <v>0</v>
      </c>
      <c r="H18" s="13">
        <f t="shared" si="2"/>
        <v>0</v>
      </c>
      <c r="I18" s="13">
        <f t="shared" si="2"/>
        <v>0</v>
      </c>
      <c r="J18" s="98"/>
      <c r="K18" s="98"/>
      <c r="L18" s="86"/>
    </row>
    <row r="19" spans="1:12" ht="12.75" customHeight="1">
      <c r="A19" s="97"/>
      <c r="B19" s="85"/>
      <c r="C19" s="97"/>
      <c r="D19" s="10">
        <v>2016</v>
      </c>
      <c r="E19" s="13">
        <f t="shared" si="3"/>
        <v>1606042.0005688402</v>
      </c>
      <c r="F19" s="13">
        <f t="shared" si="2"/>
        <v>1606042.0005688402</v>
      </c>
      <c r="G19" s="13">
        <f t="shared" si="2"/>
        <v>0</v>
      </c>
      <c r="H19" s="13">
        <f t="shared" si="2"/>
        <v>0</v>
      </c>
      <c r="I19" s="13">
        <f t="shared" si="2"/>
        <v>0</v>
      </c>
      <c r="J19" s="98"/>
      <c r="K19" s="98"/>
      <c r="L19" s="86"/>
    </row>
    <row r="20" spans="1:12" ht="12.75" customHeight="1">
      <c r="A20" s="97"/>
      <c r="B20" s="85"/>
      <c r="C20" s="97"/>
      <c r="D20" s="10">
        <v>2017</v>
      </c>
      <c r="E20" s="13">
        <f t="shared" si="3"/>
        <v>1655382.5677308163</v>
      </c>
      <c r="F20" s="13">
        <f t="shared" si="2"/>
        <v>1655382.5677308163</v>
      </c>
      <c r="G20" s="13">
        <f t="shared" si="2"/>
        <v>0</v>
      </c>
      <c r="H20" s="13">
        <f t="shared" si="2"/>
        <v>0</v>
      </c>
      <c r="I20" s="13">
        <f t="shared" si="2"/>
        <v>0</v>
      </c>
      <c r="J20" s="98"/>
      <c r="K20" s="98"/>
      <c r="L20" s="86"/>
    </row>
    <row r="21" spans="1:12" ht="12.75" customHeight="1">
      <c r="A21" s="97"/>
      <c r="B21" s="85"/>
      <c r="C21" s="97"/>
      <c r="D21" s="10">
        <v>2018</v>
      </c>
      <c r="E21" s="13">
        <f t="shared" si="3"/>
        <v>1648053.9836950405</v>
      </c>
      <c r="F21" s="13">
        <f t="shared" si="2"/>
        <v>1648053.9836950405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98"/>
      <c r="K21" s="98"/>
      <c r="L21" s="86"/>
    </row>
    <row r="22" spans="1:12" ht="12.75" customHeight="1">
      <c r="A22" s="97"/>
      <c r="B22" s="85"/>
      <c r="C22" s="97"/>
      <c r="D22" s="10">
        <v>2019</v>
      </c>
      <c r="E22" s="13">
        <f t="shared" si="3"/>
        <v>1698983.079418037</v>
      </c>
      <c r="F22" s="13">
        <f t="shared" si="2"/>
        <v>1698983.079418037</v>
      </c>
      <c r="G22" s="13">
        <f t="shared" si="2"/>
        <v>0</v>
      </c>
      <c r="H22" s="13">
        <f t="shared" si="2"/>
        <v>0</v>
      </c>
      <c r="I22" s="13">
        <f t="shared" si="2"/>
        <v>0</v>
      </c>
      <c r="J22" s="98"/>
      <c r="K22" s="98"/>
      <c r="L22" s="86"/>
    </row>
    <row r="23" spans="1:12" ht="12.75" customHeight="1">
      <c r="A23" s="97"/>
      <c r="B23" s="85"/>
      <c r="C23" s="97"/>
      <c r="D23" s="10">
        <v>2020</v>
      </c>
      <c r="E23" s="13">
        <f t="shared" si="3"/>
        <v>1751670.4607890672</v>
      </c>
      <c r="F23" s="13">
        <f t="shared" si="2"/>
        <v>1751670.4607890672</v>
      </c>
      <c r="G23" s="13">
        <f t="shared" si="2"/>
        <v>0</v>
      </c>
      <c r="H23" s="13">
        <f t="shared" si="2"/>
        <v>0</v>
      </c>
      <c r="I23" s="13">
        <f t="shared" si="2"/>
        <v>0</v>
      </c>
      <c r="J23" s="98"/>
      <c r="K23" s="98"/>
      <c r="L23" s="86"/>
    </row>
    <row r="24" spans="1:12" ht="13.5" customHeight="1">
      <c r="A24" s="97" t="s">
        <v>86</v>
      </c>
      <c r="B24" s="85" t="s">
        <v>85</v>
      </c>
      <c r="C24" s="97"/>
      <c r="D24" s="10" t="s">
        <v>7</v>
      </c>
      <c r="E24" s="12">
        <f>SUM(F24:I24)</f>
        <v>11143096.788901802</v>
      </c>
      <c r="F24" s="12">
        <f>SUM(F25:F31)</f>
        <v>11143096.788901802</v>
      </c>
      <c r="G24" s="12">
        <f>SUM(G25:G31)</f>
        <v>0</v>
      </c>
      <c r="H24" s="12">
        <f>SUM(H25:H31)</f>
        <v>0</v>
      </c>
      <c r="I24" s="12">
        <f>SUM(I25:I31)</f>
        <v>0</v>
      </c>
      <c r="J24" s="86" t="s">
        <v>84</v>
      </c>
      <c r="K24" s="86"/>
      <c r="L24" s="86"/>
    </row>
    <row r="25" spans="1:12" ht="13.5" customHeight="1">
      <c r="A25" s="97"/>
      <c r="B25" s="85"/>
      <c r="C25" s="97"/>
      <c r="D25" s="10">
        <v>2014</v>
      </c>
      <c r="E25" s="13">
        <f>SUM(F25:I25)</f>
        <v>1420694.4</v>
      </c>
      <c r="F25" s="13">
        <f aca="true" t="shared" si="4" ref="F25:I31">F33+F41+F49+F57+F65+F73+F81+F89+F97</f>
        <v>1420694.4</v>
      </c>
      <c r="G25" s="13">
        <f t="shared" si="4"/>
        <v>0</v>
      </c>
      <c r="H25" s="13">
        <f t="shared" si="4"/>
        <v>0</v>
      </c>
      <c r="I25" s="13">
        <f t="shared" si="4"/>
        <v>0</v>
      </c>
      <c r="J25" s="86"/>
      <c r="K25" s="86"/>
      <c r="L25" s="86"/>
    </row>
    <row r="26" spans="1:12" ht="13.5" customHeight="1">
      <c r="A26" s="97"/>
      <c r="B26" s="85"/>
      <c r="C26" s="97"/>
      <c r="D26" s="10">
        <v>2015</v>
      </c>
      <c r="E26" s="13">
        <f aca="true" t="shared" si="5" ref="E26:E31">SUM(F26:I26)</f>
        <v>1485238.5967</v>
      </c>
      <c r="F26" s="13">
        <f t="shared" si="4"/>
        <v>1485238.5967</v>
      </c>
      <c r="G26" s="13">
        <f t="shared" si="4"/>
        <v>0</v>
      </c>
      <c r="H26" s="13">
        <f t="shared" si="4"/>
        <v>0</v>
      </c>
      <c r="I26" s="13">
        <f t="shared" si="4"/>
        <v>0</v>
      </c>
      <c r="J26" s="86"/>
      <c r="K26" s="86"/>
      <c r="L26" s="86"/>
    </row>
    <row r="27" spans="1:12" ht="13.5" customHeight="1">
      <c r="A27" s="97"/>
      <c r="B27" s="85"/>
      <c r="C27" s="97"/>
      <c r="D27" s="10">
        <v>2016</v>
      </c>
      <c r="E27" s="13">
        <f t="shared" si="5"/>
        <v>1544750.0005688402</v>
      </c>
      <c r="F27" s="13">
        <f t="shared" si="4"/>
        <v>1544750.0005688402</v>
      </c>
      <c r="G27" s="13">
        <f t="shared" si="4"/>
        <v>0</v>
      </c>
      <c r="H27" s="13">
        <f t="shared" si="4"/>
        <v>0</v>
      </c>
      <c r="I27" s="13">
        <f t="shared" si="4"/>
        <v>0</v>
      </c>
      <c r="J27" s="86"/>
      <c r="K27" s="86"/>
      <c r="L27" s="86"/>
    </row>
    <row r="28" spans="1:12" ht="13.5" customHeight="1">
      <c r="A28" s="97"/>
      <c r="B28" s="85"/>
      <c r="C28" s="97"/>
      <c r="D28" s="10">
        <v>2017</v>
      </c>
      <c r="E28" s="13">
        <f t="shared" si="5"/>
        <v>1595269.2677308163</v>
      </c>
      <c r="F28" s="13">
        <f t="shared" si="4"/>
        <v>1595269.2677308163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86"/>
      <c r="K28" s="86"/>
      <c r="L28" s="86"/>
    </row>
    <row r="29" spans="1:12" ht="13.5" customHeight="1">
      <c r="A29" s="97"/>
      <c r="B29" s="85"/>
      <c r="C29" s="97"/>
      <c r="D29" s="10">
        <v>2018</v>
      </c>
      <c r="E29" s="13">
        <f t="shared" si="5"/>
        <v>1647532.9836950405</v>
      </c>
      <c r="F29" s="13">
        <f t="shared" si="4"/>
        <v>1647532.9836950405</v>
      </c>
      <c r="G29" s="13">
        <f t="shared" si="4"/>
        <v>0</v>
      </c>
      <c r="H29" s="13">
        <f t="shared" si="4"/>
        <v>0</v>
      </c>
      <c r="I29" s="13">
        <f t="shared" si="4"/>
        <v>0</v>
      </c>
      <c r="J29" s="86"/>
      <c r="K29" s="86"/>
      <c r="L29" s="86"/>
    </row>
    <row r="30" spans="1:12" ht="13.5" customHeight="1">
      <c r="A30" s="97"/>
      <c r="B30" s="85"/>
      <c r="C30" s="97"/>
      <c r="D30" s="10">
        <v>2019</v>
      </c>
      <c r="E30" s="13">
        <f t="shared" si="5"/>
        <v>1698462.079418037</v>
      </c>
      <c r="F30" s="13">
        <f t="shared" si="4"/>
        <v>1698462.079418037</v>
      </c>
      <c r="G30" s="13">
        <f t="shared" si="4"/>
        <v>0</v>
      </c>
      <c r="H30" s="13">
        <f t="shared" si="4"/>
        <v>0</v>
      </c>
      <c r="I30" s="13">
        <f t="shared" si="4"/>
        <v>0</v>
      </c>
      <c r="J30" s="86"/>
      <c r="K30" s="86"/>
      <c r="L30" s="86"/>
    </row>
    <row r="31" spans="1:12" ht="13.5" customHeight="1">
      <c r="A31" s="97"/>
      <c r="B31" s="85"/>
      <c r="C31" s="97"/>
      <c r="D31" s="10">
        <v>2020</v>
      </c>
      <c r="E31" s="13">
        <f t="shared" si="5"/>
        <v>1751149.4607890672</v>
      </c>
      <c r="F31" s="13">
        <f t="shared" si="4"/>
        <v>1751149.4607890672</v>
      </c>
      <c r="G31" s="13">
        <f t="shared" si="4"/>
        <v>0</v>
      </c>
      <c r="H31" s="13">
        <f t="shared" si="4"/>
        <v>0</v>
      </c>
      <c r="I31" s="13">
        <f t="shared" si="4"/>
        <v>0</v>
      </c>
      <c r="J31" s="86"/>
      <c r="K31" s="86"/>
      <c r="L31" s="86"/>
    </row>
    <row r="32" spans="1:12" ht="60.75" customHeight="1">
      <c r="A32" s="97" t="s">
        <v>83</v>
      </c>
      <c r="B32" s="85" t="s">
        <v>137</v>
      </c>
      <c r="C32" s="97"/>
      <c r="D32" s="10" t="s">
        <v>7</v>
      </c>
      <c r="E32" s="12">
        <f>SUM(F32:I32)</f>
        <v>3880597.3101505823</v>
      </c>
      <c r="F32" s="12">
        <f>SUM(F33:F39)</f>
        <v>3880597.3101505823</v>
      </c>
      <c r="G32" s="12">
        <f>SUM(G33:G39)</f>
        <v>0</v>
      </c>
      <c r="H32" s="12">
        <f>SUM(H33:H39)</f>
        <v>0</v>
      </c>
      <c r="I32" s="12">
        <f>SUM(I33:I39)</f>
        <v>0</v>
      </c>
      <c r="J32" s="10" t="s">
        <v>82</v>
      </c>
      <c r="K32" s="14" t="s">
        <v>81</v>
      </c>
      <c r="L32" s="89" t="s">
        <v>27</v>
      </c>
    </row>
    <row r="33" spans="1:12" ht="13.5" customHeight="1">
      <c r="A33" s="97"/>
      <c r="B33" s="85"/>
      <c r="C33" s="97"/>
      <c r="D33" s="10">
        <v>2014</v>
      </c>
      <c r="E33" s="13">
        <f>SUM(F33:I33)</f>
        <v>500324.87</v>
      </c>
      <c r="F33" s="13">
        <f>497714.47+2610.4</f>
        <v>500324.87</v>
      </c>
      <c r="G33" s="13"/>
      <c r="H33" s="13"/>
      <c r="I33" s="13"/>
      <c r="J33" s="10">
        <v>90</v>
      </c>
      <c r="K33" s="15">
        <v>4485</v>
      </c>
      <c r="L33" s="90"/>
    </row>
    <row r="34" spans="1:12" ht="13.5" customHeight="1">
      <c r="A34" s="97"/>
      <c r="B34" s="85"/>
      <c r="C34" s="97"/>
      <c r="D34" s="10">
        <v>2015</v>
      </c>
      <c r="E34" s="13">
        <f aca="true" t="shared" si="6" ref="E34:E39">SUM(F34:I34)</f>
        <v>520233.45</v>
      </c>
      <c r="F34" s="13">
        <f>517623.05+2610.4</f>
        <v>520233.45</v>
      </c>
      <c r="G34" s="13"/>
      <c r="H34" s="13"/>
      <c r="I34" s="13"/>
      <c r="J34" s="10">
        <v>90</v>
      </c>
      <c r="K34" s="15">
        <v>4485</v>
      </c>
      <c r="L34" s="90"/>
    </row>
    <row r="35" spans="1:12" ht="13.5" customHeight="1">
      <c r="A35" s="97"/>
      <c r="B35" s="85"/>
      <c r="C35" s="97"/>
      <c r="D35" s="10">
        <v>2016</v>
      </c>
      <c r="E35" s="13">
        <f t="shared" si="6"/>
        <v>537625.5800000001</v>
      </c>
      <c r="F35" s="13">
        <f>535015.18+2610.4</f>
        <v>537625.5800000001</v>
      </c>
      <c r="G35" s="13"/>
      <c r="H35" s="13"/>
      <c r="I35" s="13"/>
      <c r="J35" s="10">
        <v>90</v>
      </c>
      <c r="K35" s="15">
        <v>4485</v>
      </c>
      <c r="L35" s="90"/>
    </row>
    <row r="36" spans="1:12" ht="13.5" customHeight="1">
      <c r="A36" s="97"/>
      <c r="B36" s="85"/>
      <c r="C36" s="97"/>
      <c r="D36" s="10">
        <v>2017</v>
      </c>
      <c r="E36" s="13">
        <f t="shared" si="6"/>
        <v>554291.9729800001</v>
      </c>
      <c r="F36" s="13">
        <f>F35*1.031</f>
        <v>554291.9729800001</v>
      </c>
      <c r="G36" s="13"/>
      <c r="H36" s="13"/>
      <c r="I36" s="13"/>
      <c r="J36" s="10">
        <v>90</v>
      </c>
      <c r="K36" s="15">
        <v>4485</v>
      </c>
      <c r="L36" s="90"/>
    </row>
    <row r="37" spans="1:12" ht="13.5" customHeight="1">
      <c r="A37" s="97"/>
      <c r="B37" s="85"/>
      <c r="C37" s="97"/>
      <c r="D37" s="10">
        <v>2018</v>
      </c>
      <c r="E37" s="13">
        <f t="shared" si="6"/>
        <v>571475.02414238</v>
      </c>
      <c r="F37" s="13">
        <f>F36*1.031</f>
        <v>571475.02414238</v>
      </c>
      <c r="G37" s="13"/>
      <c r="H37" s="13"/>
      <c r="I37" s="13"/>
      <c r="J37" s="10">
        <v>90</v>
      </c>
      <c r="K37" s="15">
        <v>4485</v>
      </c>
      <c r="L37" s="90"/>
    </row>
    <row r="38" spans="1:12" ht="13.5" customHeight="1">
      <c r="A38" s="97"/>
      <c r="B38" s="85"/>
      <c r="C38" s="97"/>
      <c r="D38" s="10">
        <v>2019</v>
      </c>
      <c r="E38" s="13">
        <f t="shared" si="6"/>
        <v>589190.7498907937</v>
      </c>
      <c r="F38" s="13">
        <f>F37*1.031</f>
        <v>589190.7498907937</v>
      </c>
      <c r="G38" s="13"/>
      <c r="H38" s="13"/>
      <c r="I38" s="13"/>
      <c r="J38" s="10">
        <v>90</v>
      </c>
      <c r="K38" s="15">
        <v>4485</v>
      </c>
      <c r="L38" s="90"/>
    </row>
    <row r="39" spans="1:12" ht="13.5" customHeight="1">
      <c r="A39" s="97"/>
      <c r="B39" s="85"/>
      <c r="C39" s="97"/>
      <c r="D39" s="10">
        <v>2020</v>
      </c>
      <c r="E39" s="13">
        <f t="shared" si="6"/>
        <v>607455.6631374082</v>
      </c>
      <c r="F39" s="13">
        <f>F38*1.031</f>
        <v>607455.6631374082</v>
      </c>
      <c r="G39" s="13"/>
      <c r="H39" s="13"/>
      <c r="I39" s="13"/>
      <c r="J39" s="10">
        <v>90</v>
      </c>
      <c r="K39" s="15">
        <v>4485</v>
      </c>
      <c r="L39" s="90"/>
    </row>
    <row r="40" spans="1:12" ht="56.25">
      <c r="A40" s="97" t="s">
        <v>80</v>
      </c>
      <c r="B40" s="85" t="s">
        <v>79</v>
      </c>
      <c r="C40" s="16"/>
      <c r="D40" s="10" t="s">
        <v>7</v>
      </c>
      <c r="E40" s="12">
        <f>SUM(F40:I40)</f>
        <v>5517067.409866072</v>
      </c>
      <c r="F40" s="12">
        <f>SUM(F41:F47)</f>
        <v>5517067.409866072</v>
      </c>
      <c r="G40" s="12">
        <f>SUM(G41:G47)</f>
        <v>0</v>
      </c>
      <c r="H40" s="12">
        <f>SUM(H41:H47)</f>
        <v>0</v>
      </c>
      <c r="I40" s="12">
        <f>SUM(I41:I47)</f>
        <v>0</v>
      </c>
      <c r="J40" s="10" t="s">
        <v>78</v>
      </c>
      <c r="K40" s="10"/>
      <c r="L40" s="89" t="s">
        <v>27</v>
      </c>
    </row>
    <row r="41" spans="1:12" ht="13.5" customHeight="1">
      <c r="A41" s="97"/>
      <c r="B41" s="85"/>
      <c r="C41" s="16"/>
      <c r="D41" s="10">
        <v>2014</v>
      </c>
      <c r="E41" s="13">
        <f>SUM(F41:I41)</f>
        <v>711013.16</v>
      </c>
      <c r="F41" s="13">
        <v>711013.16</v>
      </c>
      <c r="G41" s="13"/>
      <c r="H41" s="13"/>
      <c r="I41" s="13"/>
      <c r="J41" s="15">
        <f>4162+635</f>
        <v>4797</v>
      </c>
      <c r="K41" s="17"/>
      <c r="L41" s="90"/>
    </row>
    <row r="42" spans="1:12" ht="13.5" customHeight="1">
      <c r="A42" s="97"/>
      <c r="B42" s="85"/>
      <c r="C42" s="16"/>
      <c r="D42" s="10">
        <v>2015</v>
      </c>
      <c r="E42" s="13">
        <f aca="true" t="shared" si="7" ref="E42:E47">SUM(F42:I42)</f>
        <v>739563.1964</v>
      </c>
      <c r="F42" s="13">
        <f>F41*1.04+109.51</f>
        <v>739563.1964</v>
      </c>
      <c r="G42" s="13"/>
      <c r="H42" s="13"/>
      <c r="I42" s="13"/>
      <c r="J42" s="15">
        <f aca="true" t="shared" si="8" ref="J42:J47">4162+635</f>
        <v>4797</v>
      </c>
      <c r="K42" s="17"/>
      <c r="L42" s="90"/>
    </row>
    <row r="43" spans="1:12" ht="13.5" customHeight="1">
      <c r="A43" s="97"/>
      <c r="B43" s="85"/>
      <c r="C43" s="16"/>
      <c r="D43" s="10">
        <v>2016</v>
      </c>
      <c r="E43" s="13">
        <f t="shared" si="7"/>
        <v>764412.51979904</v>
      </c>
      <c r="F43" s="13">
        <f>F42*1.0336</f>
        <v>764412.51979904</v>
      </c>
      <c r="G43" s="13"/>
      <c r="H43" s="13"/>
      <c r="I43" s="13"/>
      <c r="J43" s="15">
        <f t="shared" si="8"/>
        <v>4797</v>
      </c>
      <c r="K43" s="17"/>
      <c r="L43" s="90"/>
    </row>
    <row r="44" spans="1:12" ht="13.5" customHeight="1">
      <c r="A44" s="97"/>
      <c r="B44" s="85"/>
      <c r="C44" s="16"/>
      <c r="D44" s="10">
        <v>2017</v>
      </c>
      <c r="E44" s="13">
        <f t="shared" si="7"/>
        <v>788109.3079128102</v>
      </c>
      <c r="F44" s="13">
        <f>F43*1.031</f>
        <v>788109.3079128102</v>
      </c>
      <c r="G44" s="13"/>
      <c r="H44" s="13"/>
      <c r="I44" s="13"/>
      <c r="J44" s="15">
        <f t="shared" si="8"/>
        <v>4797</v>
      </c>
      <c r="K44" s="17"/>
      <c r="L44" s="90"/>
    </row>
    <row r="45" spans="1:12" ht="13.5" customHeight="1">
      <c r="A45" s="97"/>
      <c r="B45" s="85"/>
      <c r="C45" s="16"/>
      <c r="D45" s="10">
        <v>2018</v>
      </c>
      <c r="E45" s="13">
        <f t="shared" si="7"/>
        <v>812540.6964581073</v>
      </c>
      <c r="F45" s="13">
        <f>F44*1.031</f>
        <v>812540.6964581073</v>
      </c>
      <c r="G45" s="13"/>
      <c r="H45" s="13"/>
      <c r="I45" s="13"/>
      <c r="J45" s="15">
        <f t="shared" si="8"/>
        <v>4797</v>
      </c>
      <c r="K45" s="17"/>
      <c r="L45" s="90"/>
    </row>
    <row r="46" spans="1:12" ht="13.5" customHeight="1">
      <c r="A46" s="97"/>
      <c r="B46" s="85"/>
      <c r="C46" s="16"/>
      <c r="D46" s="10">
        <v>2019</v>
      </c>
      <c r="E46" s="13">
        <f t="shared" si="7"/>
        <v>837729.4580483086</v>
      </c>
      <c r="F46" s="13">
        <f>F45*1.031</f>
        <v>837729.4580483086</v>
      </c>
      <c r="G46" s="13"/>
      <c r="H46" s="13"/>
      <c r="I46" s="13"/>
      <c r="J46" s="15">
        <f t="shared" si="8"/>
        <v>4797</v>
      </c>
      <c r="K46" s="17"/>
      <c r="L46" s="90"/>
    </row>
    <row r="47" spans="1:12" ht="13.5" customHeight="1">
      <c r="A47" s="97"/>
      <c r="B47" s="85"/>
      <c r="C47" s="16"/>
      <c r="D47" s="10">
        <v>2020</v>
      </c>
      <c r="E47" s="13">
        <f t="shared" si="7"/>
        <v>863699.0712478061</v>
      </c>
      <c r="F47" s="13">
        <f>F46*1.031</f>
        <v>863699.0712478061</v>
      </c>
      <c r="G47" s="13"/>
      <c r="H47" s="13"/>
      <c r="I47" s="13"/>
      <c r="J47" s="15">
        <f t="shared" si="8"/>
        <v>4797</v>
      </c>
      <c r="K47" s="17"/>
      <c r="L47" s="90"/>
    </row>
    <row r="48" spans="1:12" ht="73.5" customHeight="1">
      <c r="A48" s="97" t="s">
        <v>77</v>
      </c>
      <c r="B48" s="85" t="s">
        <v>138</v>
      </c>
      <c r="C48" s="16"/>
      <c r="D48" s="10" t="s">
        <v>7</v>
      </c>
      <c r="E48" s="12">
        <f>SUM(F48:I48)</f>
        <v>250878.31862277258</v>
      </c>
      <c r="F48" s="12">
        <f>SUM(F49:F55)</f>
        <v>250878.31862277258</v>
      </c>
      <c r="G48" s="12">
        <f>SUM(G49:G55)</f>
        <v>0</v>
      </c>
      <c r="H48" s="12">
        <f>SUM(H49:H55)</f>
        <v>0</v>
      </c>
      <c r="I48" s="12">
        <f>SUM(I49:I55)</f>
        <v>0</v>
      </c>
      <c r="J48" s="10" t="s">
        <v>76</v>
      </c>
      <c r="K48" s="14" t="s">
        <v>75</v>
      </c>
      <c r="L48" s="89" t="s">
        <v>27</v>
      </c>
    </row>
    <row r="49" spans="1:12" ht="13.5" customHeight="1">
      <c r="A49" s="97"/>
      <c r="B49" s="85"/>
      <c r="C49" s="16"/>
      <c r="D49" s="10">
        <v>2014</v>
      </c>
      <c r="E49" s="13">
        <f>SUM(F49:I49)</f>
        <v>32357.17</v>
      </c>
      <c r="F49" s="13">
        <v>32357.17</v>
      </c>
      <c r="G49" s="13"/>
      <c r="H49" s="13"/>
      <c r="I49" s="13"/>
      <c r="J49" s="10">
        <v>70</v>
      </c>
      <c r="K49" s="14">
        <v>285</v>
      </c>
      <c r="L49" s="90"/>
    </row>
    <row r="50" spans="1:12" ht="13.5" customHeight="1">
      <c r="A50" s="97"/>
      <c r="B50" s="85"/>
      <c r="C50" s="16"/>
      <c r="D50" s="10">
        <v>2015</v>
      </c>
      <c r="E50" s="13">
        <f aca="true" t="shared" si="9" ref="E50:E55">SUM(F50:I50)</f>
        <v>33651.4568</v>
      </c>
      <c r="F50" s="13">
        <f>F49*1.04</f>
        <v>33651.4568</v>
      </c>
      <c r="G50" s="13"/>
      <c r="H50" s="13"/>
      <c r="I50" s="13"/>
      <c r="J50" s="10">
        <v>70</v>
      </c>
      <c r="K50" s="14">
        <v>285</v>
      </c>
      <c r="L50" s="90"/>
    </row>
    <row r="51" spans="1:12" ht="13.5" customHeight="1">
      <c r="A51" s="97"/>
      <c r="B51" s="85"/>
      <c r="C51" s="16"/>
      <c r="D51" s="10">
        <v>2016</v>
      </c>
      <c r="E51" s="13">
        <f t="shared" si="9"/>
        <v>34751.51060280001</v>
      </c>
      <c r="F51" s="13">
        <f>F50*1.0335-27.27</f>
        <v>34751.51060280001</v>
      </c>
      <c r="G51" s="13"/>
      <c r="H51" s="13"/>
      <c r="I51" s="13"/>
      <c r="J51" s="10">
        <v>70</v>
      </c>
      <c r="K51" s="14">
        <v>285</v>
      </c>
      <c r="L51" s="90"/>
    </row>
    <row r="52" spans="1:12" ht="13.5" customHeight="1">
      <c r="A52" s="97"/>
      <c r="B52" s="85"/>
      <c r="C52" s="16"/>
      <c r="D52" s="10">
        <v>2017</v>
      </c>
      <c r="E52" s="13">
        <f t="shared" si="9"/>
        <v>35828.807431486806</v>
      </c>
      <c r="F52" s="13">
        <f>F51*1.031</f>
        <v>35828.807431486806</v>
      </c>
      <c r="G52" s="13"/>
      <c r="H52" s="13"/>
      <c r="I52" s="13"/>
      <c r="J52" s="10">
        <v>70</v>
      </c>
      <c r="K52" s="14">
        <v>285</v>
      </c>
      <c r="L52" s="90"/>
    </row>
    <row r="53" spans="1:12" ht="13.5" customHeight="1">
      <c r="A53" s="97"/>
      <c r="B53" s="85"/>
      <c r="C53" s="16"/>
      <c r="D53" s="10">
        <v>2018</v>
      </c>
      <c r="E53" s="13">
        <f t="shared" si="9"/>
        <v>36939.500461862895</v>
      </c>
      <c r="F53" s="13">
        <f>F52*1.031</f>
        <v>36939.500461862895</v>
      </c>
      <c r="G53" s="13"/>
      <c r="H53" s="13"/>
      <c r="I53" s="13"/>
      <c r="J53" s="10">
        <v>70</v>
      </c>
      <c r="K53" s="14">
        <v>285</v>
      </c>
      <c r="L53" s="90"/>
    </row>
    <row r="54" spans="1:12" ht="13.5" customHeight="1">
      <c r="A54" s="97"/>
      <c r="B54" s="85"/>
      <c r="C54" s="16"/>
      <c r="D54" s="10">
        <v>2019</v>
      </c>
      <c r="E54" s="13">
        <f t="shared" si="9"/>
        <v>38084.62497618064</v>
      </c>
      <c r="F54" s="13">
        <f>F53*1.031</f>
        <v>38084.62497618064</v>
      </c>
      <c r="G54" s="13"/>
      <c r="H54" s="13"/>
      <c r="I54" s="13"/>
      <c r="J54" s="10">
        <v>70</v>
      </c>
      <c r="K54" s="14">
        <v>285</v>
      </c>
      <c r="L54" s="90"/>
    </row>
    <row r="55" spans="1:12" ht="13.5" customHeight="1">
      <c r="A55" s="97"/>
      <c r="B55" s="85"/>
      <c r="C55" s="16"/>
      <c r="D55" s="10">
        <v>2020</v>
      </c>
      <c r="E55" s="13">
        <f t="shared" si="9"/>
        <v>39265.248350442234</v>
      </c>
      <c r="F55" s="13">
        <f>F54*1.031</f>
        <v>39265.248350442234</v>
      </c>
      <c r="G55" s="13"/>
      <c r="H55" s="13"/>
      <c r="I55" s="13"/>
      <c r="J55" s="10">
        <v>70</v>
      </c>
      <c r="K55" s="14">
        <v>285</v>
      </c>
      <c r="L55" s="90"/>
    </row>
    <row r="56" spans="1:12" ht="67.5">
      <c r="A56" s="97" t="s">
        <v>74</v>
      </c>
      <c r="B56" s="85" t="s">
        <v>139</v>
      </c>
      <c r="C56" s="16"/>
      <c r="D56" s="10" t="s">
        <v>7</v>
      </c>
      <c r="E56" s="12">
        <f>SUM(F56:I56)</f>
        <v>706867.667411176</v>
      </c>
      <c r="F56" s="12">
        <f>SUM(F57:F63)</f>
        <v>706867.667411176</v>
      </c>
      <c r="G56" s="12">
        <f>SUM(G57:G63)</f>
        <v>0</v>
      </c>
      <c r="H56" s="12">
        <f>SUM(H57:H63)</f>
        <v>0</v>
      </c>
      <c r="I56" s="12">
        <f>SUM(I57:I63)</f>
        <v>0</v>
      </c>
      <c r="J56" s="10" t="s">
        <v>73</v>
      </c>
      <c r="K56" s="17"/>
      <c r="L56" s="89" t="s">
        <v>27</v>
      </c>
    </row>
    <row r="57" spans="1:12" ht="13.5" customHeight="1">
      <c r="A57" s="97"/>
      <c r="B57" s="85"/>
      <c r="C57" s="16"/>
      <c r="D57" s="10">
        <v>2014</v>
      </c>
      <c r="E57" s="13">
        <f>SUM(F57:I57)</f>
        <v>80284.7</v>
      </c>
      <c r="F57" s="13">
        <v>80284.7</v>
      </c>
      <c r="G57" s="13"/>
      <c r="H57" s="13"/>
      <c r="I57" s="13"/>
      <c r="J57" s="10">
        <v>19</v>
      </c>
      <c r="K57" s="17"/>
      <c r="L57" s="90"/>
    </row>
    <row r="58" spans="1:12" ht="13.5" customHeight="1">
      <c r="A58" s="97"/>
      <c r="B58" s="85"/>
      <c r="C58" s="16"/>
      <c r="D58" s="10">
        <v>2015</v>
      </c>
      <c r="E58" s="13">
        <f aca="true" t="shared" si="10" ref="E58:E63">SUM(F58:I58)</f>
        <v>88714.59349999999</v>
      </c>
      <c r="F58" s="13">
        <f>F57*1.105</f>
        <v>88714.59349999999</v>
      </c>
      <c r="G58" s="13"/>
      <c r="H58" s="13"/>
      <c r="I58" s="13"/>
      <c r="J58" s="10">
        <v>19</v>
      </c>
      <c r="K58" s="17"/>
      <c r="L58" s="90"/>
    </row>
    <row r="59" spans="1:12" ht="13.5" customHeight="1">
      <c r="A59" s="97"/>
      <c r="B59" s="85"/>
      <c r="C59" s="16"/>
      <c r="D59" s="10">
        <v>2016</v>
      </c>
      <c r="E59" s="13">
        <f t="shared" si="10"/>
        <v>95989.190167</v>
      </c>
      <c r="F59" s="13">
        <f>F58*1.082</f>
        <v>95989.190167</v>
      </c>
      <c r="G59" s="13"/>
      <c r="H59" s="13"/>
      <c r="I59" s="13"/>
      <c r="J59" s="10">
        <v>19</v>
      </c>
      <c r="K59" s="17"/>
      <c r="L59" s="90"/>
    </row>
    <row r="60" spans="1:12" ht="13.5" customHeight="1">
      <c r="A60" s="97"/>
      <c r="B60" s="85"/>
      <c r="C60" s="16"/>
      <c r="D60" s="10">
        <v>2017</v>
      </c>
      <c r="E60" s="13">
        <f t="shared" si="10"/>
        <v>101460.57400651899</v>
      </c>
      <c r="F60" s="13">
        <f>F59*1.057</f>
        <v>101460.57400651899</v>
      </c>
      <c r="G60" s="13"/>
      <c r="H60" s="13"/>
      <c r="I60" s="13"/>
      <c r="J60" s="10">
        <v>19</v>
      </c>
      <c r="K60" s="17"/>
      <c r="L60" s="90"/>
    </row>
    <row r="61" spans="1:12" ht="13.5" customHeight="1">
      <c r="A61" s="97"/>
      <c r="B61" s="85"/>
      <c r="C61" s="16"/>
      <c r="D61" s="10">
        <v>2018</v>
      </c>
      <c r="E61" s="13">
        <f t="shared" si="10"/>
        <v>107243.82672489056</v>
      </c>
      <c r="F61" s="13">
        <f>F60*1.057</f>
        <v>107243.82672489056</v>
      </c>
      <c r="G61" s="13"/>
      <c r="H61" s="13"/>
      <c r="I61" s="13"/>
      <c r="J61" s="10">
        <v>19</v>
      </c>
      <c r="K61" s="17"/>
      <c r="L61" s="90"/>
    </row>
    <row r="62" spans="1:12" ht="13.5" customHeight="1">
      <c r="A62" s="97"/>
      <c r="B62" s="85"/>
      <c r="C62" s="16"/>
      <c r="D62" s="10">
        <v>2019</v>
      </c>
      <c r="E62" s="13">
        <f t="shared" si="10"/>
        <v>113356.72484820931</v>
      </c>
      <c r="F62" s="13">
        <f>F61*1.057</f>
        <v>113356.72484820931</v>
      </c>
      <c r="G62" s="13"/>
      <c r="H62" s="13"/>
      <c r="I62" s="13"/>
      <c r="J62" s="10">
        <v>19</v>
      </c>
      <c r="K62" s="17"/>
      <c r="L62" s="90"/>
    </row>
    <row r="63" spans="1:12" ht="13.5" customHeight="1">
      <c r="A63" s="97"/>
      <c r="B63" s="85"/>
      <c r="C63" s="16"/>
      <c r="D63" s="10">
        <v>2020</v>
      </c>
      <c r="E63" s="13">
        <f t="shared" si="10"/>
        <v>119818.05816455724</v>
      </c>
      <c r="F63" s="13">
        <f>F62*1.057</f>
        <v>119818.05816455724</v>
      </c>
      <c r="G63" s="13"/>
      <c r="H63" s="13"/>
      <c r="I63" s="13"/>
      <c r="J63" s="10">
        <v>19</v>
      </c>
      <c r="K63" s="17"/>
      <c r="L63" s="90"/>
    </row>
    <row r="64" spans="1:12" ht="56.25">
      <c r="A64" s="97" t="s">
        <v>72</v>
      </c>
      <c r="B64" s="85" t="s">
        <v>140</v>
      </c>
      <c r="C64" s="16"/>
      <c r="D64" s="10" t="s">
        <v>7</v>
      </c>
      <c r="E64" s="12">
        <f>SUM(F64:I64)</f>
        <v>88679.18285119825</v>
      </c>
      <c r="F64" s="12">
        <f>SUM(F65:F71)</f>
        <v>88679.18285119825</v>
      </c>
      <c r="G64" s="12">
        <f>SUM(G65:G71)</f>
        <v>0</v>
      </c>
      <c r="H64" s="12">
        <f>SUM(H65:H71)</f>
        <v>0</v>
      </c>
      <c r="I64" s="12">
        <f>SUM(I65:I71)</f>
        <v>0</v>
      </c>
      <c r="J64" s="10" t="s">
        <v>71</v>
      </c>
      <c r="K64" s="10"/>
      <c r="L64" s="89" t="s">
        <v>27</v>
      </c>
    </row>
    <row r="65" spans="1:12" ht="13.5" customHeight="1">
      <c r="A65" s="97"/>
      <c r="B65" s="85"/>
      <c r="C65" s="16"/>
      <c r="D65" s="10">
        <v>2014</v>
      </c>
      <c r="E65" s="13">
        <f>SUM(F65:I65)</f>
        <v>10072</v>
      </c>
      <c r="F65" s="13">
        <f>11573-1501</f>
        <v>10072</v>
      </c>
      <c r="G65" s="13"/>
      <c r="H65" s="13"/>
      <c r="I65" s="13"/>
      <c r="J65" s="10">
        <v>173</v>
      </c>
      <c r="K65" s="17"/>
      <c r="L65" s="90"/>
    </row>
    <row r="66" spans="1:12" ht="13.5" customHeight="1">
      <c r="A66" s="97"/>
      <c r="B66" s="85"/>
      <c r="C66" s="16"/>
      <c r="D66" s="10">
        <v>2015</v>
      </c>
      <c r="E66" s="13">
        <f aca="true" t="shared" si="11" ref="E66:E71">SUM(F66:I66)</f>
        <v>11129.6</v>
      </c>
      <c r="F66" s="13">
        <f>12788.2-1658.6</f>
        <v>11129.6</v>
      </c>
      <c r="G66" s="13"/>
      <c r="H66" s="13"/>
      <c r="I66" s="13"/>
      <c r="J66" s="10">
        <v>173</v>
      </c>
      <c r="K66" s="17"/>
      <c r="L66" s="90"/>
    </row>
    <row r="67" spans="1:12" ht="13.5" customHeight="1">
      <c r="A67" s="97"/>
      <c r="B67" s="85"/>
      <c r="C67" s="16"/>
      <c r="D67" s="10">
        <v>2016</v>
      </c>
      <c r="E67" s="13">
        <f t="shared" si="11"/>
        <v>12042.2</v>
      </c>
      <c r="F67" s="13">
        <f>12788.2-746</f>
        <v>12042.2</v>
      </c>
      <c r="G67" s="13"/>
      <c r="H67" s="13"/>
      <c r="I67" s="13"/>
      <c r="J67" s="10">
        <v>170</v>
      </c>
      <c r="K67" s="17"/>
      <c r="L67" s="90"/>
    </row>
    <row r="68" spans="1:12" ht="13.5" customHeight="1">
      <c r="A68" s="97"/>
      <c r="B68" s="85"/>
      <c r="C68" s="16"/>
      <c r="D68" s="10">
        <v>2017</v>
      </c>
      <c r="E68" s="13">
        <f t="shared" si="11"/>
        <v>12728.6054</v>
      </c>
      <c r="F68" s="13">
        <f>F67*1.057</f>
        <v>12728.6054</v>
      </c>
      <c r="G68" s="13"/>
      <c r="H68" s="13"/>
      <c r="I68" s="13"/>
      <c r="J68" s="10">
        <v>169</v>
      </c>
      <c r="K68" s="17"/>
      <c r="L68" s="90"/>
    </row>
    <row r="69" spans="1:12" ht="13.5" customHeight="1">
      <c r="A69" s="97"/>
      <c r="B69" s="85"/>
      <c r="C69" s="16"/>
      <c r="D69" s="10">
        <v>2018</v>
      </c>
      <c r="E69" s="13">
        <f t="shared" si="11"/>
        <v>13454.1359078</v>
      </c>
      <c r="F69" s="13">
        <f>F68*1.057</f>
        <v>13454.1359078</v>
      </c>
      <c r="G69" s="13"/>
      <c r="H69" s="13"/>
      <c r="I69" s="13"/>
      <c r="J69" s="10"/>
      <c r="K69" s="17"/>
      <c r="L69" s="90"/>
    </row>
    <row r="70" spans="1:12" ht="13.5" customHeight="1">
      <c r="A70" s="97"/>
      <c r="B70" s="85"/>
      <c r="C70" s="16"/>
      <c r="D70" s="10">
        <v>2019</v>
      </c>
      <c r="E70" s="13">
        <f t="shared" si="11"/>
        <v>14221.0216545446</v>
      </c>
      <c r="F70" s="13">
        <f>F69*1.057</f>
        <v>14221.0216545446</v>
      </c>
      <c r="G70" s="13"/>
      <c r="H70" s="13"/>
      <c r="I70" s="13"/>
      <c r="J70" s="10"/>
      <c r="K70" s="17"/>
      <c r="L70" s="90"/>
    </row>
    <row r="71" spans="1:12" ht="13.5" customHeight="1">
      <c r="A71" s="97"/>
      <c r="B71" s="85"/>
      <c r="C71" s="16"/>
      <c r="D71" s="10">
        <v>2020</v>
      </c>
      <c r="E71" s="13">
        <f t="shared" si="11"/>
        <v>15031.619888853642</v>
      </c>
      <c r="F71" s="13">
        <f>F70*1.057</f>
        <v>15031.619888853642</v>
      </c>
      <c r="G71" s="13"/>
      <c r="H71" s="13"/>
      <c r="I71" s="13"/>
      <c r="J71" s="10"/>
      <c r="K71" s="17"/>
      <c r="L71" s="90"/>
    </row>
    <row r="72" spans="1:12" ht="135">
      <c r="A72" s="97" t="s">
        <v>70</v>
      </c>
      <c r="B72" s="85" t="s">
        <v>141</v>
      </c>
      <c r="C72" s="16"/>
      <c r="D72" s="10" t="s">
        <v>7</v>
      </c>
      <c r="E72" s="12">
        <f>SUM(F72:I72)</f>
        <v>37822</v>
      </c>
      <c r="F72" s="12">
        <f>SUM(F73:F79)</f>
        <v>37822</v>
      </c>
      <c r="G72" s="12">
        <f>SUM(G73:G79)</f>
        <v>0</v>
      </c>
      <c r="H72" s="12">
        <f>SUM(H73:H79)</f>
        <v>0</v>
      </c>
      <c r="I72" s="12">
        <f>SUM(I73:I79)</f>
        <v>0</v>
      </c>
      <c r="J72" s="10" t="s">
        <v>69</v>
      </c>
      <c r="K72" s="10" t="s">
        <v>68</v>
      </c>
      <c r="L72" s="89" t="s">
        <v>27</v>
      </c>
    </row>
    <row r="73" spans="1:12" ht="13.5" customHeight="1">
      <c r="A73" s="97"/>
      <c r="B73" s="85"/>
      <c r="C73" s="16"/>
      <c r="D73" s="10">
        <v>2014</v>
      </c>
      <c r="E73" s="13">
        <f>SUM(F73:I73)</f>
        <v>5350</v>
      </c>
      <c r="F73" s="13">
        <v>5350</v>
      </c>
      <c r="G73" s="13"/>
      <c r="H73" s="13"/>
      <c r="I73" s="13"/>
      <c r="J73" s="10">
        <v>150</v>
      </c>
      <c r="K73" s="10">
        <v>93</v>
      </c>
      <c r="L73" s="90"/>
    </row>
    <row r="74" spans="1:12" ht="13.5" customHeight="1">
      <c r="A74" s="97"/>
      <c r="B74" s="85"/>
      <c r="C74" s="16"/>
      <c r="D74" s="10">
        <v>2015</v>
      </c>
      <c r="E74" s="13">
        <f aca="true" t="shared" si="12" ref="E74:E79">SUM(F74:I74)</f>
        <v>5412</v>
      </c>
      <c r="F74" s="13">
        <v>5412</v>
      </c>
      <c r="G74" s="13"/>
      <c r="H74" s="13"/>
      <c r="I74" s="13"/>
      <c r="J74" s="10">
        <v>155</v>
      </c>
      <c r="K74" s="10">
        <v>94</v>
      </c>
      <c r="L74" s="90"/>
    </row>
    <row r="75" spans="1:12" ht="13.5" customHeight="1">
      <c r="A75" s="97"/>
      <c r="B75" s="85"/>
      <c r="C75" s="16"/>
      <c r="D75" s="10">
        <v>2016</v>
      </c>
      <c r="E75" s="13">
        <f t="shared" si="12"/>
        <v>5412</v>
      </c>
      <c r="F75" s="13">
        <v>5412</v>
      </c>
      <c r="G75" s="13"/>
      <c r="H75" s="13"/>
      <c r="I75" s="13"/>
      <c r="J75" s="10">
        <v>155</v>
      </c>
      <c r="K75" s="10">
        <v>95</v>
      </c>
      <c r="L75" s="90"/>
    </row>
    <row r="76" spans="1:12" ht="13.5" customHeight="1">
      <c r="A76" s="97"/>
      <c r="B76" s="85"/>
      <c r="C76" s="16"/>
      <c r="D76" s="10">
        <v>2017</v>
      </c>
      <c r="E76" s="13">
        <f t="shared" si="12"/>
        <v>5412</v>
      </c>
      <c r="F76" s="13">
        <v>5412</v>
      </c>
      <c r="G76" s="13"/>
      <c r="H76" s="13"/>
      <c r="I76" s="13"/>
      <c r="J76" s="10">
        <v>155</v>
      </c>
      <c r="K76" s="10">
        <v>95</v>
      </c>
      <c r="L76" s="90"/>
    </row>
    <row r="77" spans="1:12" ht="13.5" customHeight="1">
      <c r="A77" s="97"/>
      <c r="B77" s="85"/>
      <c r="C77" s="16"/>
      <c r="D77" s="10">
        <v>2018</v>
      </c>
      <c r="E77" s="13">
        <f t="shared" si="12"/>
        <v>5412</v>
      </c>
      <c r="F77" s="13">
        <v>5412</v>
      </c>
      <c r="G77" s="13"/>
      <c r="H77" s="13"/>
      <c r="I77" s="13"/>
      <c r="J77" s="10">
        <v>155</v>
      </c>
      <c r="K77" s="10">
        <v>95</v>
      </c>
      <c r="L77" s="90"/>
    </row>
    <row r="78" spans="1:12" ht="13.5" customHeight="1">
      <c r="A78" s="97"/>
      <c r="B78" s="85"/>
      <c r="C78" s="16"/>
      <c r="D78" s="10">
        <v>2019</v>
      </c>
      <c r="E78" s="13">
        <f t="shared" si="12"/>
        <v>5412</v>
      </c>
      <c r="F78" s="13">
        <v>5412</v>
      </c>
      <c r="G78" s="13"/>
      <c r="H78" s="13"/>
      <c r="I78" s="13"/>
      <c r="J78" s="10">
        <v>155</v>
      </c>
      <c r="K78" s="10">
        <v>95</v>
      </c>
      <c r="L78" s="90"/>
    </row>
    <row r="79" spans="1:12" ht="13.5" customHeight="1">
      <c r="A79" s="97"/>
      <c r="B79" s="85"/>
      <c r="C79" s="16"/>
      <c r="D79" s="10">
        <v>2020</v>
      </c>
      <c r="E79" s="13">
        <f t="shared" si="12"/>
        <v>5412</v>
      </c>
      <c r="F79" s="13">
        <v>5412</v>
      </c>
      <c r="G79" s="13"/>
      <c r="H79" s="13"/>
      <c r="I79" s="13"/>
      <c r="J79" s="10">
        <v>155</v>
      </c>
      <c r="K79" s="10">
        <v>95</v>
      </c>
      <c r="L79" s="90"/>
    </row>
    <row r="80" spans="1:12" ht="56.25" customHeight="1">
      <c r="A80" s="97" t="s">
        <v>67</v>
      </c>
      <c r="B80" s="85" t="s">
        <v>66</v>
      </c>
      <c r="C80" s="16"/>
      <c r="D80" s="10" t="s">
        <v>7</v>
      </c>
      <c r="E80" s="12">
        <f>SUM(F80:I80)</f>
        <v>640587.2000000001</v>
      </c>
      <c r="F80" s="12">
        <f>SUM(F81:F87)</f>
        <v>640587.2000000001</v>
      </c>
      <c r="G80" s="12">
        <f>SUM(G81:G87)</f>
        <v>0</v>
      </c>
      <c r="H80" s="12">
        <f>SUM(H81:H87)</f>
        <v>0</v>
      </c>
      <c r="I80" s="12">
        <f>SUM(I81:I87)</f>
        <v>0</v>
      </c>
      <c r="J80" s="10" t="s">
        <v>65</v>
      </c>
      <c r="K80" s="10"/>
      <c r="L80" s="89" t="s">
        <v>59</v>
      </c>
    </row>
    <row r="81" spans="1:12" ht="13.5" customHeight="1">
      <c r="A81" s="97"/>
      <c r="B81" s="85"/>
      <c r="C81" s="16"/>
      <c r="D81" s="10">
        <v>2014</v>
      </c>
      <c r="E81" s="13">
        <f>SUM(F81:I81)</f>
        <v>78733.6</v>
      </c>
      <c r="F81" s="13">
        <v>78733.6</v>
      </c>
      <c r="G81" s="13"/>
      <c r="H81" s="13"/>
      <c r="I81" s="13"/>
      <c r="J81" s="10">
        <v>173</v>
      </c>
      <c r="K81" s="17"/>
      <c r="L81" s="90"/>
    </row>
    <row r="82" spans="1:12" ht="13.5" customHeight="1">
      <c r="A82" s="97"/>
      <c r="B82" s="85"/>
      <c r="C82" s="16"/>
      <c r="D82" s="10">
        <v>2015</v>
      </c>
      <c r="E82" s="13">
        <f aca="true" t="shared" si="13" ref="E82:E87">SUM(F82:I82)</f>
        <v>83723.5</v>
      </c>
      <c r="F82" s="13">
        <v>83723.5</v>
      </c>
      <c r="G82" s="13"/>
      <c r="H82" s="13"/>
      <c r="I82" s="13"/>
      <c r="J82" s="10">
        <v>177</v>
      </c>
      <c r="K82" s="17"/>
      <c r="L82" s="90"/>
    </row>
    <row r="83" spans="1:12" ht="13.5" customHeight="1">
      <c r="A83" s="97"/>
      <c r="B83" s="85"/>
      <c r="C83" s="16"/>
      <c r="D83" s="10">
        <v>2016</v>
      </c>
      <c r="E83" s="13">
        <f t="shared" si="13"/>
        <v>91484.6</v>
      </c>
      <c r="F83" s="13">
        <v>91484.6</v>
      </c>
      <c r="G83" s="13"/>
      <c r="H83" s="13"/>
      <c r="I83" s="13"/>
      <c r="J83" s="10">
        <v>177</v>
      </c>
      <c r="K83" s="17"/>
      <c r="L83" s="90"/>
    </row>
    <row r="84" spans="1:12" ht="13.5" customHeight="1">
      <c r="A84" s="97"/>
      <c r="B84" s="85"/>
      <c r="C84" s="16"/>
      <c r="D84" s="10">
        <v>2017</v>
      </c>
      <c r="E84" s="13">
        <f t="shared" si="13"/>
        <v>94396.6</v>
      </c>
      <c r="F84" s="13">
        <v>94396.6</v>
      </c>
      <c r="G84" s="13"/>
      <c r="H84" s="13"/>
      <c r="I84" s="13"/>
      <c r="J84" s="10">
        <v>177</v>
      </c>
      <c r="K84" s="17"/>
      <c r="L84" s="90"/>
    </row>
    <row r="85" spans="1:12" ht="13.5" customHeight="1">
      <c r="A85" s="97"/>
      <c r="B85" s="85"/>
      <c r="C85" s="16"/>
      <c r="D85" s="10">
        <v>2018</v>
      </c>
      <c r="E85" s="13">
        <f t="shared" si="13"/>
        <v>97416.4</v>
      </c>
      <c r="F85" s="13">
        <v>97416.4</v>
      </c>
      <c r="G85" s="13"/>
      <c r="H85" s="13"/>
      <c r="I85" s="13"/>
      <c r="J85" s="10">
        <v>177</v>
      </c>
      <c r="K85" s="17"/>
      <c r="L85" s="90"/>
    </row>
    <row r="86" spans="1:12" ht="13.5" customHeight="1">
      <c r="A86" s="97"/>
      <c r="B86" s="85"/>
      <c r="C86" s="16"/>
      <c r="D86" s="10">
        <v>2019</v>
      </c>
      <c r="E86" s="13">
        <f t="shared" si="13"/>
        <v>97416.1</v>
      </c>
      <c r="F86" s="13">
        <v>97416.1</v>
      </c>
      <c r="G86" s="13"/>
      <c r="H86" s="13"/>
      <c r="I86" s="13"/>
      <c r="J86" s="10">
        <v>177</v>
      </c>
      <c r="K86" s="17"/>
      <c r="L86" s="90"/>
    </row>
    <row r="87" spans="1:12" ht="13.5" customHeight="1">
      <c r="A87" s="97"/>
      <c r="B87" s="85"/>
      <c r="C87" s="16"/>
      <c r="D87" s="10">
        <v>2020</v>
      </c>
      <c r="E87" s="13">
        <f t="shared" si="13"/>
        <v>97416.4</v>
      </c>
      <c r="F87" s="13">
        <v>97416.4</v>
      </c>
      <c r="G87" s="13"/>
      <c r="H87" s="13"/>
      <c r="I87" s="13"/>
      <c r="J87" s="10">
        <v>177</v>
      </c>
      <c r="K87" s="17"/>
      <c r="L87" s="90"/>
    </row>
    <row r="88" spans="1:12" ht="26.25" customHeight="1">
      <c r="A88" s="97" t="s">
        <v>64</v>
      </c>
      <c r="B88" s="85" t="s">
        <v>142</v>
      </c>
      <c r="C88" s="16"/>
      <c r="D88" s="10" t="s">
        <v>7</v>
      </c>
      <c r="E88" s="12">
        <f>SUM(F88:I88)</f>
        <v>18790.7</v>
      </c>
      <c r="F88" s="12">
        <f>SUM(F89:F95)</f>
        <v>18790.7</v>
      </c>
      <c r="G88" s="12">
        <f>SUM(G89:G95)</f>
        <v>0</v>
      </c>
      <c r="H88" s="12">
        <f>SUM(H89:H95)</f>
        <v>0</v>
      </c>
      <c r="I88" s="12">
        <f>SUM(I89:I95)</f>
        <v>0</v>
      </c>
      <c r="J88" s="10" t="s">
        <v>63</v>
      </c>
      <c r="K88" s="17"/>
      <c r="L88" s="89" t="s">
        <v>59</v>
      </c>
    </row>
    <row r="89" spans="1:12" ht="13.5" customHeight="1">
      <c r="A89" s="97"/>
      <c r="B89" s="85"/>
      <c r="C89" s="16"/>
      <c r="D89" s="10">
        <v>2014</v>
      </c>
      <c r="E89" s="13">
        <f>SUM(F89:I89)</f>
        <v>2324.9</v>
      </c>
      <c r="F89" s="13">
        <v>2324.9</v>
      </c>
      <c r="G89" s="13"/>
      <c r="H89" s="13"/>
      <c r="I89" s="13"/>
      <c r="J89" s="10">
        <v>1</v>
      </c>
      <c r="K89" s="17"/>
      <c r="L89" s="90"/>
    </row>
    <row r="90" spans="1:12" ht="13.5" customHeight="1">
      <c r="A90" s="97"/>
      <c r="B90" s="85"/>
      <c r="C90" s="16"/>
      <c r="D90" s="10">
        <v>2015</v>
      </c>
      <c r="E90" s="13">
        <f aca="true" t="shared" si="14" ref="E90:E95">SUM(F90:I90)</f>
        <v>2568.8</v>
      </c>
      <c r="F90" s="13">
        <v>2568.8</v>
      </c>
      <c r="G90" s="13"/>
      <c r="H90" s="13"/>
      <c r="I90" s="13"/>
      <c r="J90" s="10">
        <v>1</v>
      </c>
      <c r="K90" s="17"/>
      <c r="L90" s="90"/>
    </row>
    <row r="91" spans="1:12" ht="13.5" customHeight="1">
      <c r="A91" s="97"/>
      <c r="B91" s="85"/>
      <c r="C91" s="16"/>
      <c r="D91" s="10">
        <v>2016</v>
      </c>
      <c r="E91" s="13">
        <f t="shared" si="14"/>
        <v>2779.4</v>
      </c>
      <c r="F91" s="13">
        <v>2779.4</v>
      </c>
      <c r="G91" s="13"/>
      <c r="H91" s="13"/>
      <c r="I91" s="13"/>
      <c r="J91" s="10">
        <v>1</v>
      </c>
      <c r="K91" s="17"/>
      <c r="L91" s="90"/>
    </row>
    <row r="92" spans="1:12" ht="13.5" customHeight="1">
      <c r="A92" s="97"/>
      <c r="B92" s="85"/>
      <c r="C92" s="16"/>
      <c r="D92" s="10">
        <v>2017</v>
      </c>
      <c r="E92" s="13">
        <f t="shared" si="14"/>
        <v>2779.4</v>
      </c>
      <c r="F92" s="13">
        <v>2779.4</v>
      </c>
      <c r="G92" s="13"/>
      <c r="H92" s="13"/>
      <c r="I92" s="13"/>
      <c r="J92" s="10">
        <v>1</v>
      </c>
      <c r="K92" s="17"/>
      <c r="L92" s="90"/>
    </row>
    <row r="93" spans="1:12" ht="13.5" customHeight="1">
      <c r="A93" s="97"/>
      <c r="B93" s="85"/>
      <c r="C93" s="16"/>
      <c r="D93" s="10">
        <v>2018</v>
      </c>
      <c r="E93" s="13">
        <f t="shared" si="14"/>
        <v>2779.4</v>
      </c>
      <c r="F93" s="13">
        <v>2779.4</v>
      </c>
      <c r="G93" s="13"/>
      <c r="H93" s="13"/>
      <c r="I93" s="13"/>
      <c r="J93" s="10">
        <v>1</v>
      </c>
      <c r="K93" s="17"/>
      <c r="L93" s="90"/>
    </row>
    <row r="94" spans="1:12" ht="13.5" customHeight="1">
      <c r="A94" s="97"/>
      <c r="B94" s="85"/>
      <c r="C94" s="16"/>
      <c r="D94" s="10">
        <v>2019</v>
      </c>
      <c r="E94" s="13">
        <f t="shared" si="14"/>
        <v>2779.4</v>
      </c>
      <c r="F94" s="13">
        <v>2779.4</v>
      </c>
      <c r="G94" s="13"/>
      <c r="H94" s="13"/>
      <c r="I94" s="13"/>
      <c r="J94" s="10">
        <v>1</v>
      </c>
      <c r="K94" s="17"/>
      <c r="L94" s="90"/>
    </row>
    <row r="95" spans="1:12" ht="13.5" customHeight="1">
      <c r="A95" s="97"/>
      <c r="B95" s="85"/>
      <c r="C95" s="16"/>
      <c r="D95" s="10">
        <v>2020</v>
      </c>
      <c r="E95" s="13">
        <f t="shared" si="14"/>
        <v>2779.4</v>
      </c>
      <c r="F95" s="13">
        <v>2779.4</v>
      </c>
      <c r="G95" s="13"/>
      <c r="H95" s="13"/>
      <c r="I95" s="13"/>
      <c r="J95" s="10">
        <v>1</v>
      </c>
      <c r="K95" s="17"/>
      <c r="L95" s="90"/>
    </row>
    <row r="96" spans="1:12" ht="49.5" customHeight="1">
      <c r="A96" s="97" t="s">
        <v>62</v>
      </c>
      <c r="B96" s="85" t="s">
        <v>61</v>
      </c>
      <c r="C96" s="16"/>
      <c r="D96" s="10" t="s">
        <v>7</v>
      </c>
      <c r="E96" s="12">
        <f>SUM(F96:I96)</f>
        <v>1807</v>
      </c>
      <c r="F96" s="12">
        <f>SUM(F97:F103)</f>
        <v>1807</v>
      </c>
      <c r="G96" s="12">
        <f>SUM(G97:G103)</f>
        <v>0</v>
      </c>
      <c r="H96" s="12">
        <f>SUM(H97:H103)</f>
        <v>0</v>
      </c>
      <c r="I96" s="12">
        <f>SUM(I97:I103)</f>
        <v>0</v>
      </c>
      <c r="J96" s="10" t="s">
        <v>60</v>
      </c>
      <c r="K96" s="17"/>
      <c r="L96" s="89" t="s">
        <v>59</v>
      </c>
    </row>
    <row r="97" spans="1:12" ht="13.5" customHeight="1">
      <c r="A97" s="97"/>
      <c r="B97" s="85"/>
      <c r="C97" s="16"/>
      <c r="D97" s="10">
        <v>2014</v>
      </c>
      <c r="E97" s="13">
        <f>SUM(F97:I97)</f>
        <v>234</v>
      </c>
      <c r="F97" s="13">
        <v>234</v>
      </c>
      <c r="G97" s="13"/>
      <c r="H97" s="13"/>
      <c r="I97" s="13"/>
      <c r="J97" s="10">
        <v>1</v>
      </c>
      <c r="K97" s="17"/>
      <c r="L97" s="90"/>
    </row>
    <row r="98" spans="1:12" ht="13.5" customHeight="1">
      <c r="A98" s="97"/>
      <c r="B98" s="85"/>
      <c r="C98" s="16"/>
      <c r="D98" s="10">
        <v>2015</v>
      </c>
      <c r="E98" s="13">
        <f aca="true" t="shared" si="15" ref="E98:E103">SUM(F98:I98)</f>
        <v>242</v>
      </c>
      <c r="F98" s="13">
        <v>242</v>
      </c>
      <c r="G98" s="13"/>
      <c r="H98" s="13"/>
      <c r="I98" s="13"/>
      <c r="J98" s="10">
        <v>1</v>
      </c>
      <c r="K98" s="17"/>
      <c r="L98" s="90"/>
    </row>
    <row r="99" spans="1:12" ht="13.5" customHeight="1">
      <c r="A99" s="97"/>
      <c r="B99" s="85"/>
      <c r="C99" s="16"/>
      <c r="D99" s="10">
        <v>2016</v>
      </c>
      <c r="E99" s="13">
        <f t="shared" si="15"/>
        <v>253</v>
      </c>
      <c r="F99" s="13">
        <v>253</v>
      </c>
      <c r="G99" s="13"/>
      <c r="H99" s="13"/>
      <c r="I99" s="13"/>
      <c r="J99" s="10">
        <v>1</v>
      </c>
      <c r="K99" s="17"/>
      <c r="L99" s="90"/>
    </row>
    <row r="100" spans="1:12" ht="13.5" customHeight="1">
      <c r="A100" s="97"/>
      <c r="B100" s="85"/>
      <c r="C100" s="16"/>
      <c r="D100" s="10">
        <v>2017</v>
      </c>
      <c r="E100" s="13">
        <f t="shared" si="15"/>
        <v>262</v>
      </c>
      <c r="F100" s="13">
        <v>262</v>
      </c>
      <c r="G100" s="13"/>
      <c r="H100" s="13"/>
      <c r="I100" s="13"/>
      <c r="J100" s="10">
        <v>1</v>
      </c>
      <c r="K100" s="17"/>
      <c r="L100" s="90"/>
    </row>
    <row r="101" spans="1:12" ht="13.5" customHeight="1">
      <c r="A101" s="97"/>
      <c r="B101" s="85"/>
      <c r="C101" s="16"/>
      <c r="D101" s="10">
        <v>2018</v>
      </c>
      <c r="E101" s="13">
        <f t="shared" si="15"/>
        <v>272</v>
      </c>
      <c r="F101" s="13">
        <v>272</v>
      </c>
      <c r="G101" s="13"/>
      <c r="H101" s="13"/>
      <c r="I101" s="13"/>
      <c r="J101" s="10">
        <v>1</v>
      </c>
      <c r="K101" s="17"/>
      <c r="L101" s="90"/>
    </row>
    <row r="102" spans="1:12" ht="13.5" customHeight="1">
      <c r="A102" s="97"/>
      <c r="B102" s="85"/>
      <c r="C102" s="16"/>
      <c r="D102" s="10">
        <v>2019</v>
      </c>
      <c r="E102" s="13">
        <f t="shared" si="15"/>
        <v>272</v>
      </c>
      <c r="F102" s="13">
        <v>272</v>
      </c>
      <c r="G102" s="13"/>
      <c r="H102" s="13"/>
      <c r="I102" s="13"/>
      <c r="J102" s="10">
        <v>1</v>
      </c>
      <c r="K102" s="17"/>
      <c r="L102" s="90"/>
    </row>
    <row r="103" spans="1:12" ht="13.5" customHeight="1">
      <c r="A103" s="97"/>
      <c r="B103" s="85"/>
      <c r="C103" s="16"/>
      <c r="D103" s="10">
        <v>2020</v>
      </c>
      <c r="E103" s="13">
        <f t="shared" si="15"/>
        <v>272</v>
      </c>
      <c r="F103" s="13">
        <v>272</v>
      </c>
      <c r="G103" s="13"/>
      <c r="H103" s="13"/>
      <c r="I103" s="13"/>
      <c r="J103" s="10">
        <v>1</v>
      </c>
      <c r="K103" s="17"/>
      <c r="L103" s="90"/>
    </row>
    <row r="104" spans="1:12" ht="13.5" customHeight="1">
      <c r="A104" s="97" t="s">
        <v>58</v>
      </c>
      <c r="B104" s="85" t="s">
        <v>57</v>
      </c>
      <c r="C104" s="97"/>
      <c r="D104" s="10" t="s">
        <v>7</v>
      </c>
      <c r="E104" s="12">
        <f>SUM(F104:I104)</f>
        <v>238845.59999999998</v>
      </c>
      <c r="F104" s="12">
        <f>SUM(F105:F111)</f>
        <v>238845.59999999998</v>
      </c>
      <c r="G104" s="12">
        <f>SUM(G105:G111)</f>
        <v>0</v>
      </c>
      <c r="H104" s="12">
        <f>SUM(H105:H111)</f>
        <v>0</v>
      </c>
      <c r="I104" s="12">
        <f>SUM(I105:I111)</f>
        <v>0</v>
      </c>
      <c r="J104" s="86" t="s">
        <v>56</v>
      </c>
      <c r="K104" s="86"/>
      <c r="L104" s="86"/>
    </row>
    <row r="105" spans="1:12" ht="13.5" customHeight="1">
      <c r="A105" s="97"/>
      <c r="B105" s="85"/>
      <c r="C105" s="97"/>
      <c r="D105" s="10">
        <v>2014</v>
      </c>
      <c r="E105" s="13">
        <f>SUM(F105:I105)</f>
        <v>56842.5</v>
      </c>
      <c r="F105" s="13">
        <f aca="true" t="shared" si="16" ref="F105:I111">F113+F129+F121</f>
        <v>56842.5</v>
      </c>
      <c r="G105" s="13">
        <f t="shared" si="16"/>
        <v>0</v>
      </c>
      <c r="H105" s="13">
        <f t="shared" si="16"/>
        <v>0</v>
      </c>
      <c r="I105" s="13">
        <f t="shared" si="16"/>
        <v>0</v>
      </c>
      <c r="J105" s="86"/>
      <c r="K105" s="86"/>
      <c r="L105" s="86"/>
    </row>
    <row r="106" spans="1:12" ht="13.5" customHeight="1">
      <c r="A106" s="97"/>
      <c r="B106" s="85"/>
      <c r="C106" s="97"/>
      <c r="D106" s="10">
        <v>2015</v>
      </c>
      <c r="E106" s="13">
        <f aca="true" t="shared" si="17" ref="E106:E111">SUM(F106:I106)</f>
        <v>59034.8</v>
      </c>
      <c r="F106" s="13">
        <f t="shared" si="16"/>
        <v>59034.8</v>
      </c>
      <c r="G106" s="13">
        <f t="shared" si="16"/>
        <v>0</v>
      </c>
      <c r="H106" s="13">
        <f t="shared" si="16"/>
        <v>0</v>
      </c>
      <c r="I106" s="13">
        <f t="shared" si="16"/>
        <v>0</v>
      </c>
      <c r="J106" s="86"/>
      <c r="K106" s="86"/>
      <c r="L106" s="86"/>
    </row>
    <row r="107" spans="1:12" ht="13.5" customHeight="1">
      <c r="A107" s="97"/>
      <c r="B107" s="85"/>
      <c r="C107" s="97"/>
      <c r="D107" s="10">
        <v>2016</v>
      </c>
      <c r="E107" s="13">
        <f t="shared" si="17"/>
        <v>61292</v>
      </c>
      <c r="F107" s="13">
        <f t="shared" si="16"/>
        <v>61292</v>
      </c>
      <c r="G107" s="13">
        <f t="shared" si="16"/>
        <v>0</v>
      </c>
      <c r="H107" s="13">
        <f t="shared" si="16"/>
        <v>0</v>
      </c>
      <c r="I107" s="13">
        <f t="shared" si="16"/>
        <v>0</v>
      </c>
      <c r="J107" s="86"/>
      <c r="K107" s="86"/>
      <c r="L107" s="86"/>
    </row>
    <row r="108" spans="1:12" ht="13.5" customHeight="1">
      <c r="A108" s="97"/>
      <c r="B108" s="85"/>
      <c r="C108" s="97"/>
      <c r="D108" s="10">
        <v>2017</v>
      </c>
      <c r="E108" s="13">
        <f t="shared" si="17"/>
        <v>60113.3</v>
      </c>
      <c r="F108" s="13">
        <f t="shared" si="16"/>
        <v>60113.3</v>
      </c>
      <c r="G108" s="13">
        <f t="shared" si="16"/>
        <v>0</v>
      </c>
      <c r="H108" s="13">
        <f t="shared" si="16"/>
        <v>0</v>
      </c>
      <c r="I108" s="13">
        <f t="shared" si="16"/>
        <v>0</v>
      </c>
      <c r="J108" s="86"/>
      <c r="K108" s="86"/>
      <c r="L108" s="86"/>
    </row>
    <row r="109" spans="1:12" ht="13.5" customHeight="1">
      <c r="A109" s="97"/>
      <c r="B109" s="85"/>
      <c r="C109" s="97"/>
      <c r="D109" s="10">
        <v>2018</v>
      </c>
      <c r="E109" s="13">
        <f t="shared" si="17"/>
        <v>521</v>
      </c>
      <c r="F109" s="13">
        <f t="shared" si="16"/>
        <v>521</v>
      </c>
      <c r="G109" s="13">
        <f t="shared" si="16"/>
        <v>0</v>
      </c>
      <c r="H109" s="13">
        <f t="shared" si="16"/>
        <v>0</v>
      </c>
      <c r="I109" s="13">
        <f t="shared" si="16"/>
        <v>0</v>
      </c>
      <c r="J109" s="86"/>
      <c r="K109" s="86"/>
      <c r="L109" s="86"/>
    </row>
    <row r="110" spans="1:12" ht="13.5" customHeight="1">
      <c r="A110" s="97"/>
      <c r="B110" s="85"/>
      <c r="C110" s="97"/>
      <c r="D110" s="10">
        <v>2019</v>
      </c>
      <c r="E110" s="13">
        <f t="shared" si="17"/>
        <v>521</v>
      </c>
      <c r="F110" s="13">
        <f t="shared" si="16"/>
        <v>521</v>
      </c>
      <c r="G110" s="13">
        <f t="shared" si="16"/>
        <v>0</v>
      </c>
      <c r="H110" s="13">
        <f t="shared" si="16"/>
        <v>0</v>
      </c>
      <c r="I110" s="13">
        <f t="shared" si="16"/>
        <v>0</v>
      </c>
      <c r="J110" s="86"/>
      <c r="K110" s="86"/>
      <c r="L110" s="86"/>
    </row>
    <row r="111" spans="1:12" ht="13.5" customHeight="1">
      <c r="A111" s="97"/>
      <c r="B111" s="85"/>
      <c r="C111" s="97"/>
      <c r="D111" s="10">
        <v>2020</v>
      </c>
      <c r="E111" s="13">
        <f t="shared" si="17"/>
        <v>521</v>
      </c>
      <c r="F111" s="13">
        <f t="shared" si="16"/>
        <v>521</v>
      </c>
      <c r="G111" s="13">
        <f t="shared" si="16"/>
        <v>0</v>
      </c>
      <c r="H111" s="13">
        <f t="shared" si="16"/>
        <v>0</v>
      </c>
      <c r="I111" s="13">
        <f t="shared" si="16"/>
        <v>0</v>
      </c>
      <c r="J111" s="86"/>
      <c r="K111" s="86"/>
      <c r="L111" s="86"/>
    </row>
    <row r="112" spans="1:12" ht="67.5" customHeight="1">
      <c r="A112" s="97" t="s">
        <v>55</v>
      </c>
      <c r="B112" s="85" t="s">
        <v>54</v>
      </c>
      <c r="C112" s="97"/>
      <c r="D112" s="10" t="s">
        <v>7</v>
      </c>
      <c r="E112" s="12">
        <f>SUM(F112:I112)</f>
        <v>232988.7</v>
      </c>
      <c r="F112" s="12">
        <f>SUM(F113:F119)</f>
        <v>232988.7</v>
      </c>
      <c r="G112" s="12">
        <f>SUM(G113:G119)</f>
        <v>0</v>
      </c>
      <c r="H112" s="12">
        <f>SUM(H113:H119)</f>
        <v>0</v>
      </c>
      <c r="I112" s="12">
        <f>SUM(I113:I119)</f>
        <v>0</v>
      </c>
      <c r="J112" s="10" t="s">
        <v>53</v>
      </c>
      <c r="K112" s="18"/>
      <c r="L112" s="86" t="s">
        <v>13</v>
      </c>
    </row>
    <row r="113" spans="1:12" ht="13.5" customHeight="1">
      <c r="A113" s="97"/>
      <c r="B113" s="85"/>
      <c r="C113" s="97"/>
      <c r="D113" s="10">
        <v>2014</v>
      </c>
      <c r="E113" s="13">
        <f>SUM(F113:I113)</f>
        <v>55809.3</v>
      </c>
      <c r="F113" s="13">
        <f>56809.3-1000</f>
        <v>55809.3</v>
      </c>
      <c r="G113" s="13"/>
      <c r="H113" s="13"/>
      <c r="I113" s="13"/>
      <c r="J113" s="10">
        <v>318</v>
      </c>
      <c r="K113" s="17"/>
      <c r="L113" s="86"/>
    </row>
    <row r="114" spans="1:12" ht="13.5" customHeight="1">
      <c r="A114" s="97"/>
      <c r="B114" s="85"/>
      <c r="C114" s="97"/>
      <c r="D114" s="10">
        <v>2015</v>
      </c>
      <c r="E114" s="13">
        <f aca="true" t="shared" si="18" ref="E114:E119">SUM(F114:I114)</f>
        <v>57947.9</v>
      </c>
      <c r="F114" s="13">
        <f>59026.4-1078.5</f>
        <v>57947.9</v>
      </c>
      <c r="G114" s="13"/>
      <c r="H114" s="13"/>
      <c r="I114" s="13"/>
      <c r="J114" s="10">
        <v>318</v>
      </c>
      <c r="K114" s="17"/>
      <c r="L114" s="86"/>
    </row>
    <row r="115" spans="1:12" ht="13.5" customHeight="1">
      <c r="A115" s="97"/>
      <c r="B115" s="85"/>
      <c r="C115" s="97"/>
      <c r="D115" s="10">
        <v>2016</v>
      </c>
      <c r="E115" s="13">
        <f t="shared" si="18"/>
        <v>60205.1</v>
      </c>
      <c r="F115" s="13">
        <f>59026.4+1178.7</f>
        <v>60205.1</v>
      </c>
      <c r="G115" s="13"/>
      <c r="H115" s="13"/>
      <c r="I115" s="13"/>
      <c r="J115" s="10">
        <v>318</v>
      </c>
      <c r="K115" s="17"/>
      <c r="L115" s="86"/>
    </row>
    <row r="116" spans="1:12" ht="13.5" customHeight="1">
      <c r="A116" s="97"/>
      <c r="B116" s="85"/>
      <c r="C116" s="97"/>
      <c r="D116" s="10">
        <v>2017</v>
      </c>
      <c r="E116" s="13">
        <f t="shared" si="18"/>
        <v>59026.4</v>
      </c>
      <c r="F116" s="13">
        <v>59026.4</v>
      </c>
      <c r="G116" s="13"/>
      <c r="H116" s="13"/>
      <c r="I116" s="13"/>
      <c r="J116" s="10">
        <v>318</v>
      </c>
      <c r="K116" s="17"/>
      <c r="L116" s="86"/>
    </row>
    <row r="117" spans="1:12" ht="13.5" customHeight="1">
      <c r="A117" s="97"/>
      <c r="B117" s="85"/>
      <c r="C117" s="97"/>
      <c r="D117" s="10">
        <v>2018</v>
      </c>
      <c r="E117" s="13">
        <f t="shared" si="18"/>
        <v>0</v>
      </c>
      <c r="F117" s="13"/>
      <c r="G117" s="13"/>
      <c r="H117" s="13"/>
      <c r="I117" s="13"/>
      <c r="J117" s="10">
        <v>318</v>
      </c>
      <c r="K117" s="17"/>
      <c r="L117" s="86"/>
    </row>
    <row r="118" spans="1:12" ht="13.5" customHeight="1">
      <c r="A118" s="97"/>
      <c r="B118" s="85"/>
      <c r="C118" s="97"/>
      <c r="D118" s="10">
        <v>2019</v>
      </c>
      <c r="E118" s="13">
        <f t="shared" si="18"/>
        <v>0</v>
      </c>
      <c r="F118" s="13"/>
      <c r="G118" s="13"/>
      <c r="H118" s="13"/>
      <c r="I118" s="13"/>
      <c r="J118" s="10">
        <v>318</v>
      </c>
      <c r="K118" s="17"/>
      <c r="L118" s="86"/>
    </row>
    <row r="119" spans="1:12" ht="13.5" customHeight="1">
      <c r="A119" s="97"/>
      <c r="B119" s="85"/>
      <c r="C119" s="97"/>
      <c r="D119" s="10">
        <v>2020</v>
      </c>
      <c r="E119" s="13">
        <f t="shared" si="18"/>
        <v>0</v>
      </c>
      <c r="F119" s="13"/>
      <c r="G119" s="13"/>
      <c r="H119" s="13"/>
      <c r="I119" s="13"/>
      <c r="J119" s="10">
        <v>318</v>
      </c>
      <c r="K119" s="17"/>
      <c r="L119" s="86"/>
    </row>
    <row r="120" spans="1:12" ht="38.25" customHeight="1">
      <c r="A120" s="97" t="s">
        <v>52</v>
      </c>
      <c r="B120" s="85" t="s">
        <v>3</v>
      </c>
      <c r="C120" s="97"/>
      <c r="D120" s="10" t="s">
        <v>7</v>
      </c>
      <c r="E120" s="12">
        <f>SUM(F120:I120)</f>
        <v>3647</v>
      </c>
      <c r="F120" s="12">
        <f>SUM(F121:F127)</f>
        <v>3647</v>
      </c>
      <c r="G120" s="12">
        <f>SUM(G121:G127)</f>
        <v>0</v>
      </c>
      <c r="H120" s="12">
        <f>SUM(H121:H127)</f>
        <v>0</v>
      </c>
      <c r="I120" s="12">
        <f>SUM(I121:I127)</f>
        <v>0</v>
      </c>
      <c r="J120" s="10" t="s">
        <v>51</v>
      </c>
      <c r="K120" s="18"/>
      <c r="L120" s="86" t="s">
        <v>13</v>
      </c>
    </row>
    <row r="121" spans="1:12" ht="13.5" customHeight="1">
      <c r="A121" s="97"/>
      <c r="B121" s="85"/>
      <c r="C121" s="97"/>
      <c r="D121" s="10">
        <v>2014</v>
      </c>
      <c r="E121" s="13">
        <f>SUM(F121:I121)</f>
        <v>521</v>
      </c>
      <c r="F121" s="13">
        <f>21+500</f>
        <v>521</v>
      </c>
      <c r="G121" s="13"/>
      <c r="H121" s="13"/>
      <c r="I121" s="13"/>
      <c r="J121" s="10"/>
      <c r="K121" s="17"/>
      <c r="L121" s="86"/>
    </row>
    <row r="122" spans="1:12" ht="13.5" customHeight="1">
      <c r="A122" s="97"/>
      <c r="B122" s="85"/>
      <c r="C122" s="97"/>
      <c r="D122" s="10">
        <v>2015</v>
      </c>
      <c r="E122" s="13">
        <f aca="true" t="shared" si="19" ref="E122:E127">SUM(F122:I122)</f>
        <v>521</v>
      </c>
      <c r="F122" s="13">
        <f aca="true" t="shared" si="20" ref="F122:F127">21+500</f>
        <v>521</v>
      </c>
      <c r="G122" s="13"/>
      <c r="H122" s="13"/>
      <c r="I122" s="13"/>
      <c r="J122" s="10"/>
      <c r="K122" s="17"/>
      <c r="L122" s="86"/>
    </row>
    <row r="123" spans="1:12" ht="13.5" customHeight="1">
      <c r="A123" s="97"/>
      <c r="B123" s="85"/>
      <c r="C123" s="97"/>
      <c r="D123" s="10">
        <v>2016</v>
      </c>
      <c r="E123" s="13">
        <f t="shared" si="19"/>
        <v>521</v>
      </c>
      <c r="F123" s="13">
        <f t="shared" si="20"/>
        <v>521</v>
      </c>
      <c r="G123" s="13"/>
      <c r="H123" s="13"/>
      <c r="I123" s="13"/>
      <c r="J123" s="10"/>
      <c r="K123" s="17"/>
      <c r="L123" s="86"/>
    </row>
    <row r="124" spans="1:12" ht="13.5" customHeight="1">
      <c r="A124" s="97"/>
      <c r="B124" s="85"/>
      <c r="C124" s="97"/>
      <c r="D124" s="10">
        <v>2017</v>
      </c>
      <c r="E124" s="13">
        <f t="shared" si="19"/>
        <v>521</v>
      </c>
      <c r="F124" s="13">
        <f t="shared" si="20"/>
        <v>521</v>
      </c>
      <c r="G124" s="13"/>
      <c r="H124" s="13"/>
      <c r="I124" s="13"/>
      <c r="J124" s="10"/>
      <c r="K124" s="17"/>
      <c r="L124" s="86"/>
    </row>
    <row r="125" spans="1:12" ht="13.5" customHeight="1">
      <c r="A125" s="97"/>
      <c r="B125" s="85"/>
      <c r="C125" s="97"/>
      <c r="D125" s="10">
        <v>2018</v>
      </c>
      <c r="E125" s="13">
        <f t="shared" si="19"/>
        <v>521</v>
      </c>
      <c r="F125" s="13">
        <f t="shared" si="20"/>
        <v>521</v>
      </c>
      <c r="G125" s="13"/>
      <c r="H125" s="13"/>
      <c r="I125" s="13"/>
      <c r="J125" s="10"/>
      <c r="K125" s="17"/>
      <c r="L125" s="86"/>
    </row>
    <row r="126" spans="1:12" ht="13.5" customHeight="1">
      <c r="A126" s="97"/>
      <c r="B126" s="85"/>
      <c r="C126" s="97"/>
      <c r="D126" s="10">
        <v>2019</v>
      </c>
      <c r="E126" s="13">
        <f t="shared" si="19"/>
        <v>521</v>
      </c>
      <c r="F126" s="13">
        <f t="shared" si="20"/>
        <v>521</v>
      </c>
      <c r="G126" s="13"/>
      <c r="H126" s="13"/>
      <c r="I126" s="13"/>
      <c r="J126" s="10"/>
      <c r="K126" s="17"/>
      <c r="L126" s="86"/>
    </row>
    <row r="127" spans="1:12" ht="13.5" customHeight="1">
      <c r="A127" s="97"/>
      <c r="B127" s="85"/>
      <c r="C127" s="97"/>
      <c r="D127" s="10">
        <v>2020</v>
      </c>
      <c r="E127" s="13">
        <f t="shared" si="19"/>
        <v>521</v>
      </c>
      <c r="F127" s="13">
        <f t="shared" si="20"/>
        <v>521</v>
      </c>
      <c r="G127" s="13"/>
      <c r="H127" s="13"/>
      <c r="I127" s="13"/>
      <c r="J127" s="10"/>
      <c r="K127" s="17"/>
      <c r="L127" s="86"/>
    </row>
    <row r="128" spans="1:12" ht="90">
      <c r="A128" s="97" t="s">
        <v>50</v>
      </c>
      <c r="B128" s="85" t="s">
        <v>49</v>
      </c>
      <c r="C128" s="97"/>
      <c r="D128" s="10" t="s">
        <v>7</v>
      </c>
      <c r="E128" s="12">
        <f>SUM(F128:I128)</f>
        <v>2209.9</v>
      </c>
      <c r="F128" s="12">
        <f>SUM(F129:F135)</f>
        <v>2209.9</v>
      </c>
      <c r="G128" s="12">
        <f>SUM(G129:G135)</f>
        <v>0</v>
      </c>
      <c r="H128" s="12">
        <f>SUM(H129:H135)</f>
        <v>0</v>
      </c>
      <c r="I128" s="12">
        <f>SUM(I129:I135)</f>
        <v>0</v>
      </c>
      <c r="J128" s="10" t="s">
        <v>48</v>
      </c>
      <c r="K128" s="10"/>
      <c r="L128" s="86" t="s">
        <v>13</v>
      </c>
    </row>
    <row r="129" spans="1:12" ht="15">
      <c r="A129" s="97"/>
      <c r="B129" s="85"/>
      <c r="C129" s="97"/>
      <c r="D129" s="10">
        <v>2014</v>
      </c>
      <c r="E129" s="13">
        <f>SUM(F129:I129)</f>
        <v>512.2</v>
      </c>
      <c r="F129" s="13">
        <v>512.2</v>
      </c>
      <c r="G129" s="13"/>
      <c r="H129" s="13"/>
      <c r="I129" s="13"/>
      <c r="J129" s="10">
        <v>1</v>
      </c>
      <c r="K129" s="17"/>
      <c r="L129" s="86"/>
    </row>
    <row r="130" spans="1:12" ht="15">
      <c r="A130" s="97"/>
      <c r="B130" s="85"/>
      <c r="C130" s="97"/>
      <c r="D130" s="10">
        <v>2015</v>
      </c>
      <c r="E130" s="13">
        <f aca="true" t="shared" si="21" ref="E130:E135">SUM(F130:I130)</f>
        <v>565.9</v>
      </c>
      <c r="F130" s="13">
        <v>565.9</v>
      </c>
      <c r="G130" s="13"/>
      <c r="H130" s="13"/>
      <c r="I130" s="13"/>
      <c r="J130" s="10">
        <v>1</v>
      </c>
      <c r="K130" s="17"/>
      <c r="L130" s="86"/>
    </row>
    <row r="131" spans="1:12" ht="15">
      <c r="A131" s="97"/>
      <c r="B131" s="85"/>
      <c r="C131" s="97"/>
      <c r="D131" s="10">
        <v>2016</v>
      </c>
      <c r="E131" s="13">
        <f t="shared" si="21"/>
        <v>565.9</v>
      </c>
      <c r="F131" s="13">
        <v>565.9</v>
      </c>
      <c r="G131" s="13"/>
      <c r="H131" s="13"/>
      <c r="I131" s="13"/>
      <c r="J131" s="10">
        <v>1</v>
      </c>
      <c r="K131" s="17"/>
      <c r="L131" s="86"/>
    </row>
    <row r="132" spans="1:12" ht="15">
      <c r="A132" s="97"/>
      <c r="B132" s="85"/>
      <c r="C132" s="97"/>
      <c r="D132" s="10">
        <v>2017</v>
      </c>
      <c r="E132" s="13">
        <f t="shared" si="21"/>
        <v>565.9</v>
      </c>
      <c r="F132" s="13">
        <v>565.9</v>
      </c>
      <c r="G132" s="13"/>
      <c r="H132" s="13"/>
      <c r="I132" s="13"/>
      <c r="J132" s="10">
        <v>1</v>
      </c>
      <c r="K132" s="17"/>
      <c r="L132" s="86"/>
    </row>
    <row r="133" spans="1:12" ht="15">
      <c r="A133" s="97"/>
      <c r="B133" s="85"/>
      <c r="C133" s="97"/>
      <c r="D133" s="10">
        <v>2018</v>
      </c>
      <c r="E133" s="13">
        <f t="shared" si="21"/>
        <v>0</v>
      </c>
      <c r="F133" s="13"/>
      <c r="G133" s="13"/>
      <c r="H133" s="13"/>
      <c r="I133" s="13"/>
      <c r="J133" s="10">
        <v>1</v>
      </c>
      <c r="K133" s="17"/>
      <c r="L133" s="86"/>
    </row>
    <row r="134" spans="1:12" ht="15">
      <c r="A134" s="97"/>
      <c r="B134" s="85"/>
      <c r="C134" s="97"/>
      <c r="D134" s="10">
        <v>2019</v>
      </c>
      <c r="E134" s="13">
        <f t="shared" si="21"/>
        <v>0</v>
      </c>
      <c r="F134" s="13"/>
      <c r="G134" s="13"/>
      <c r="H134" s="13"/>
      <c r="I134" s="13"/>
      <c r="J134" s="10">
        <v>1</v>
      </c>
      <c r="K134" s="17"/>
      <c r="L134" s="86"/>
    </row>
    <row r="135" spans="1:12" ht="15">
      <c r="A135" s="97"/>
      <c r="B135" s="85"/>
      <c r="C135" s="97"/>
      <c r="D135" s="10">
        <v>2020</v>
      </c>
      <c r="E135" s="13">
        <f t="shared" si="21"/>
        <v>0</v>
      </c>
      <c r="F135" s="13"/>
      <c r="G135" s="13"/>
      <c r="H135" s="13"/>
      <c r="I135" s="13"/>
      <c r="J135" s="10">
        <v>1</v>
      </c>
      <c r="K135" s="17"/>
      <c r="L135" s="86"/>
    </row>
    <row r="136" spans="1:12" ht="15">
      <c r="A136" s="87" t="s">
        <v>47</v>
      </c>
      <c r="B136" s="91" t="s">
        <v>46</v>
      </c>
      <c r="C136" s="87"/>
      <c r="D136" s="10" t="s">
        <v>7</v>
      </c>
      <c r="E136" s="12">
        <f>SUM(F136:I136)</f>
        <v>89321.0208</v>
      </c>
      <c r="F136" s="12">
        <f>SUM(F137:F143)</f>
        <v>89321.0208</v>
      </c>
      <c r="G136" s="12">
        <f>SUM(G137:G143)</f>
        <v>0</v>
      </c>
      <c r="H136" s="12">
        <f>SUM(H137:H143)</f>
        <v>0</v>
      </c>
      <c r="I136" s="12">
        <f>SUM(I137:I143)</f>
        <v>0</v>
      </c>
      <c r="J136" s="86"/>
      <c r="K136" s="86"/>
      <c r="L136" s="89"/>
    </row>
    <row r="137" spans="1:12" ht="15">
      <c r="A137" s="88"/>
      <c r="B137" s="92"/>
      <c r="C137" s="88"/>
      <c r="D137" s="10">
        <v>2014</v>
      </c>
      <c r="E137" s="13">
        <f>SUM(F137:I137)</f>
        <v>9390</v>
      </c>
      <c r="F137" s="13">
        <f aca="true" t="shared" si="22" ref="F137:I143">F145+F193</f>
        <v>9390</v>
      </c>
      <c r="G137" s="13">
        <f t="shared" si="22"/>
        <v>0</v>
      </c>
      <c r="H137" s="13">
        <f t="shared" si="22"/>
        <v>0</v>
      </c>
      <c r="I137" s="13">
        <f t="shared" si="22"/>
        <v>0</v>
      </c>
      <c r="J137" s="86"/>
      <c r="K137" s="86"/>
      <c r="L137" s="90"/>
    </row>
    <row r="138" spans="1:12" ht="15">
      <c r="A138" s="88"/>
      <c r="B138" s="92"/>
      <c r="C138" s="88"/>
      <c r="D138" s="10">
        <v>2015</v>
      </c>
      <c r="E138" s="13">
        <f aca="true" t="shared" si="23" ref="E138:E143">SUM(F138:I138)</f>
        <v>9798</v>
      </c>
      <c r="F138" s="13">
        <f t="shared" si="22"/>
        <v>9798</v>
      </c>
      <c r="G138" s="13">
        <f t="shared" si="22"/>
        <v>0</v>
      </c>
      <c r="H138" s="13">
        <f t="shared" si="22"/>
        <v>0</v>
      </c>
      <c r="I138" s="13">
        <f t="shared" si="22"/>
        <v>0</v>
      </c>
      <c r="J138" s="86"/>
      <c r="K138" s="86"/>
      <c r="L138" s="90"/>
    </row>
    <row r="139" spans="1:12" ht="15">
      <c r="A139" s="88"/>
      <c r="B139" s="92"/>
      <c r="C139" s="88"/>
      <c r="D139" s="10">
        <v>2016</v>
      </c>
      <c r="E139" s="13">
        <f t="shared" si="23"/>
        <v>9798</v>
      </c>
      <c r="F139" s="13">
        <f t="shared" si="22"/>
        <v>9798</v>
      </c>
      <c r="G139" s="13">
        <f t="shared" si="22"/>
        <v>0</v>
      </c>
      <c r="H139" s="13">
        <f t="shared" si="22"/>
        <v>0</v>
      </c>
      <c r="I139" s="13">
        <f t="shared" si="22"/>
        <v>0</v>
      </c>
      <c r="J139" s="86"/>
      <c r="K139" s="86"/>
      <c r="L139" s="90"/>
    </row>
    <row r="140" spans="1:12" ht="15">
      <c r="A140" s="88"/>
      <c r="B140" s="92"/>
      <c r="C140" s="88"/>
      <c r="D140" s="10">
        <v>2017</v>
      </c>
      <c r="E140" s="13">
        <f t="shared" si="23"/>
        <v>11610.599999999999</v>
      </c>
      <c r="F140" s="13">
        <f t="shared" si="22"/>
        <v>11610.599999999999</v>
      </c>
      <c r="G140" s="13">
        <f t="shared" si="22"/>
        <v>0</v>
      </c>
      <c r="H140" s="13">
        <f t="shared" si="22"/>
        <v>0</v>
      </c>
      <c r="I140" s="13">
        <f t="shared" si="22"/>
        <v>0</v>
      </c>
      <c r="J140" s="86"/>
      <c r="K140" s="86"/>
      <c r="L140" s="90"/>
    </row>
    <row r="141" spans="1:12" ht="15">
      <c r="A141" s="88"/>
      <c r="B141" s="92"/>
      <c r="C141" s="88"/>
      <c r="D141" s="10">
        <v>2018</v>
      </c>
      <c r="E141" s="13">
        <f t="shared" si="23"/>
        <v>13641.72</v>
      </c>
      <c r="F141" s="13">
        <f t="shared" si="22"/>
        <v>13641.72</v>
      </c>
      <c r="G141" s="13">
        <f t="shared" si="22"/>
        <v>0</v>
      </c>
      <c r="H141" s="13">
        <f t="shared" si="22"/>
        <v>0</v>
      </c>
      <c r="I141" s="13">
        <f t="shared" si="22"/>
        <v>0</v>
      </c>
      <c r="J141" s="86"/>
      <c r="K141" s="86"/>
      <c r="L141" s="90"/>
    </row>
    <row r="142" spans="1:12" ht="15">
      <c r="A142" s="88"/>
      <c r="B142" s="92"/>
      <c r="C142" s="88"/>
      <c r="D142" s="10">
        <v>2019</v>
      </c>
      <c r="E142" s="13">
        <f t="shared" si="23"/>
        <v>16078.863999999998</v>
      </c>
      <c r="F142" s="13">
        <f t="shared" si="22"/>
        <v>16078.863999999998</v>
      </c>
      <c r="G142" s="13">
        <f t="shared" si="22"/>
        <v>0</v>
      </c>
      <c r="H142" s="13">
        <f t="shared" si="22"/>
        <v>0</v>
      </c>
      <c r="I142" s="13">
        <f t="shared" si="22"/>
        <v>0</v>
      </c>
      <c r="J142" s="86"/>
      <c r="K142" s="86"/>
      <c r="L142" s="90"/>
    </row>
    <row r="143" spans="1:12" ht="15">
      <c r="A143" s="88"/>
      <c r="B143" s="92"/>
      <c r="C143" s="88"/>
      <c r="D143" s="10">
        <v>2020</v>
      </c>
      <c r="E143" s="13">
        <f t="shared" si="23"/>
        <v>19003.836799999997</v>
      </c>
      <c r="F143" s="13">
        <f t="shared" si="22"/>
        <v>19003.836799999997</v>
      </c>
      <c r="G143" s="13">
        <f t="shared" si="22"/>
        <v>0</v>
      </c>
      <c r="H143" s="13">
        <f t="shared" si="22"/>
        <v>0</v>
      </c>
      <c r="I143" s="13">
        <f t="shared" si="22"/>
        <v>0</v>
      </c>
      <c r="J143" s="86"/>
      <c r="K143" s="86"/>
      <c r="L143" s="90"/>
    </row>
    <row r="144" spans="1:12" ht="15">
      <c r="A144" s="87" t="s">
        <v>45</v>
      </c>
      <c r="B144" s="91" t="s">
        <v>44</v>
      </c>
      <c r="C144" s="87"/>
      <c r="D144" s="10" t="s">
        <v>7</v>
      </c>
      <c r="E144" s="12">
        <f>SUM(F144:I144)</f>
        <v>76568.7808</v>
      </c>
      <c r="F144" s="12">
        <f>SUM(F145:F151)</f>
        <v>76568.7808</v>
      </c>
      <c r="G144" s="12">
        <f>SUM(G145:G151)</f>
        <v>0</v>
      </c>
      <c r="H144" s="12">
        <f>SUM(H145:H151)</f>
        <v>0</v>
      </c>
      <c r="I144" s="12">
        <f>SUM(I145:I151)</f>
        <v>0</v>
      </c>
      <c r="J144" s="93" t="s">
        <v>43</v>
      </c>
      <c r="K144" s="94"/>
      <c r="L144" s="89"/>
    </row>
    <row r="145" spans="1:12" ht="15">
      <c r="A145" s="88"/>
      <c r="B145" s="92"/>
      <c r="C145" s="88"/>
      <c r="D145" s="10">
        <v>2014</v>
      </c>
      <c r="E145" s="13">
        <f>SUM(F145:I145)</f>
        <v>7660</v>
      </c>
      <c r="F145" s="13">
        <f aca="true" t="shared" si="24" ref="F145:I151">F153+F161+F169+F177+F185</f>
        <v>7660</v>
      </c>
      <c r="G145" s="13">
        <f t="shared" si="24"/>
        <v>0</v>
      </c>
      <c r="H145" s="13">
        <f t="shared" si="24"/>
        <v>0</v>
      </c>
      <c r="I145" s="13">
        <f t="shared" si="24"/>
        <v>0</v>
      </c>
      <c r="J145" s="95"/>
      <c r="K145" s="96"/>
      <c r="L145" s="90"/>
    </row>
    <row r="146" spans="1:12" ht="15">
      <c r="A146" s="88"/>
      <c r="B146" s="92"/>
      <c r="C146" s="88"/>
      <c r="D146" s="10">
        <v>2015</v>
      </c>
      <c r="E146" s="13">
        <f aca="true" t="shared" si="25" ref="E146:E151">SUM(F146:I146)</f>
        <v>8163</v>
      </c>
      <c r="F146" s="13">
        <f t="shared" si="24"/>
        <v>8163</v>
      </c>
      <c r="G146" s="13">
        <f t="shared" si="24"/>
        <v>0</v>
      </c>
      <c r="H146" s="13">
        <f t="shared" si="24"/>
        <v>0</v>
      </c>
      <c r="I146" s="13">
        <f t="shared" si="24"/>
        <v>0</v>
      </c>
      <c r="J146" s="95"/>
      <c r="K146" s="96"/>
      <c r="L146" s="90"/>
    </row>
    <row r="147" spans="1:12" ht="15">
      <c r="A147" s="88"/>
      <c r="B147" s="92"/>
      <c r="C147" s="88"/>
      <c r="D147" s="10">
        <v>2016</v>
      </c>
      <c r="E147" s="13">
        <f t="shared" si="25"/>
        <v>8163</v>
      </c>
      <c r="F147" s="13">
        <f t="shared" si="24"/>
        <v>8163</v>
      </c>
      <c r="G147" s="13">
        <f t="shared" si="24"/>
        <v>0</v>
      </c>
      <c r="H147" s="13">
        <f t="shared" si="24"/>
        <v>0</v>
      </c>
      <c r="I147" s="13">
        <f t="shared" si="24"/>
        <v>0</v>
      </c>
      <c r="J147" s="95"/>
      <c r="K147" s="96"/>
      <c r="L147" s="90"/>
    </row>
    <row r="148" spans="1:12" ht="15">
      <c r="A148" s="88"/>
      <c r="B148" s="92"/>
      <c r="C148" s="88"/>
      <c r="D148" s="10">
        <v>2017</v>
      </c>
      <c r="E148" s="13">
        <f t="shared" si="25"/>
        <v>9795.599999999999</v>
      </c>
      <c r="F148" s="13">
        <f t="shared" si="24"/>
        <v>9795.599999999999</v>
      </c>
      <c r="G148" s="13">
        <f t="shared" si="24"/>
        <v>0</v>
      </c>
      <c r="H148" s="13">
        <f t="shared" si="24"/>
        <v>0</v>
      </c>
      <c r="I148" s="13">
        <f t="shared" si="24"/>
        <v>0</v>
      </c>
      <c r="J148" s="95"/>
      <c r="K148" s="96"/>
      <c r="L148" s="90"/>
    </row>
    <row r="149" spans="1:12" ht="15">
      <c r="A149" s="88"/>
      <c r="B149" s="92"/>
      <c r="C149" s="88"/>
      <c r="D149" s="10">
        <v>2018</v>
      </c>
      <c r="E149" s="13">
        <f t="shared" si="25"/>
        <v>11754.72</v>
      </c>
      <c r="F149" s="13">
        <f t="shared" si="24"/>
        <v>11754.72</v>
      </c>
      <c r="G149" s="13">
        <f t="shared" si="24"/>
        <v>0</v>
      </c>
      <c r="H149" s="13">
        <f t="shared" si="24"/>
        <v>0</v>
      </c>
      <c r="I149" s="13">
        <f t="shared" si="24"/>
        <v>0</v>
      </c>
      <c r="J149" s="95"/>
      <c r="K149" s="96"/>
      <c r="L149" s="90"/>
    </row>
    <row r="150" spans="1:12" ht="15">
      <c r="A150" s="88"/>
      <c r="B150" s="92"/>
      <c r="C150" s="88"/>
      <c r="D150" s="10">
        <v>2019</v>
      </c>
      <c r="E150" s="13">
        <f t="shared" si="25"/>
        <v>14105.663999999997</v>
      </c>
      <c r="F150" s="13">
        <f t="shared" si="24"/>
        <v>14105.663999999997</v>
      </c>
      <c r="G150" s="13">
        <f t="shared" si="24"/>
        <v>0</v>
      </c>
      <c r="H150" s="13">
        <f t="shared" si="24"/>
        <v>0</v>
      </c>
      <c r="I150" s="13">
        <f t="shared" si="24"/>
        <v>0</v>
      </c>
      <c r="J150" s="95"/>
      <c r="K150" s="96"/>
      <c r="L150" s="90"/>
    </row>
    <row r="151" spans="1:12" ht="15">
      <c r="A151" s="88"/>
      <c r="B151" s="92"/>
      <c r="C151" s="88"/>
      <c r="D151" s="10">
        <v>2020</v>
      </c>
      <c r="E151" s="13">
        <f t="shared" si="25"/>
        <v>16926.796799999996</v>
      </c>
      <c r="F151" s="13">
        <f t="shared" si="24"/>
        <v>16926.796799999996</v>
      </c>
      <c r="G151" s="13">
        <f t="shared" si="24"/>
        <v>0</v>
      </c>
      <c r="H151" s="13">
        <f t="shared" si="24"/>
        <v>0</v>
      </c>
      <c r="I151" s="13">
        <f t="shared" si="24"/>
        <v>0</v>
      </c>
      <c r="J151" s="95"/>
      <c r="K151" s="96"/>
      <c r="L151" s="90"/>
    </row>
    <row r="152" spans="1:12" ht="123.75">
      <c r="A152" s="87" t="s">
        <v>42</v>
      </c>
      <c r="B152" s="91" t="s">
        <v>4</v>
      </c>
      <c r="C152" s="87"/>
      <c r="D152" s="19" t="s">
        <v>7</v>
      </c>
      <c r="E152" s="12">
        <f>SUM(F152:I152)</f>
        <v>19771.52</v>
      </c>
      <c r="F152" s="12">
        <f>SUM(F153:F159)</f>
        <v>19771.52</v>
      </c>
      <c r="G152" s="12">
        <f>SUM(G153:G159)</f>
        <v>0</v>
      </c>
      <c r="H152" s="12">
        <f>SUM(H153:H159)</f>
        <v>0</v>
      </c>
      <c r="I152" s="12">
        <f>SUM(I153:I159)</f>
        <v>0</v>
      </c>
      <c r="J152" s="10" t="s">
        <v>41</v>
      </c>
      <c r="K152" s="10"/>
      <c r="L152" s="89" t="s">
        <v>27</v>
      </c>
    </row>
    <row r="153" spans="1:12" ht="15">
      <c r="A153" s="88"/>
      <c r="B153" s="92"/>
      <c r="C153" s="88"/>
      <c r="D153" s="10">
        <v>2014</v>
      </c>
      <c r="E153" s="13">
        <f>SUM(F153:I153)</f>
        <v>1400</v>
      </c>
      <c r="F153" s="13">
        <v>1400</v>
      </c>
      <c r="G153" s="13"/>
      <c r="H153" s="13"/>
      <c r="I153" s="13"/>
      <c r="J153" s="10">
        <v>1</v>
      </c>
      <c r="K153" s="17"/>
      <c r="L153" s="90"/>
    </row>
    <row r="154" spans="1:12" ht="15">
      <c r="A154" s="88"/>
      <c r="B154" s="92"/>
      <c r="C154" s="88"/>
      <c r="D154" s="10">
        <v>2015</v>
      </c>
      <c r="E154" s="13">
        <f aca="true" t="shared" si="26" ref="E154:E167">SUM(F154:I154)</f>
        <v>2000</v>
      </c>
      <c r="F154" s="13">
        <v>2000</v>
      </c>
      <c r="G154" s="13"/>
      <c r="H154" s="13"/>
      <c r="I154" s="13"/>
      <c r="J154" s="10">
        <v>1</v>
      </c>
      <c r="K154" s="17"/>
      <c r="L154" s="90"/>
    </row>
    <row r="155" spans="1:12" ht="15">
      <c r="A155" s="88"/>
      <c r="B155" s="92"/>
      <c r="C155" s="88"/>
      <c r="D155" s="10">
        <v>2016</v>
      </c>
      <c r="E155" s="13">
        <f t="shared" si="26"/>
        <v>2200</v>
      </c>
      <c r="F155" s="13">
        <v>2200</v>
      </c>
      <c r="G155" s="13"/>
      <c r="H155" s="13"/>
      <c r="I155" s="13"/>
      <c r="J155" s="10">
        <v>1</v>
      </c>
      <c r="K155" s="17"/>
      <c r="L155" s="90"/>
    </row>
    <row r="156" spans="1:12" ht="15">
      <c r="A156" s="88"/>
      <c r="B156" s="92"/>
      <c r="C156" s="88"/>
      <c r="D156" s="10">
        <v>2017</v>
      </c>
      <c r="E156" s="13">
        <f t="shared" si="26"/>
        <v>2640</v>
      </c>
      <c r="F156" s="13">
        <f>F155*1.2</f>
        <v>2640</v>
      </c>
      <c r="G156" s="13"/>
      <c r="H156" s="13"/>
      <c r="I156" s="13"/>
      <c r="J156" s="10">
        <v>1</v>
      </c>
      <c r="K156" s="17"/>
      <c r="L156" s="90"/>
    </row>
    <row r="157" spans="1:12" ht="15">
      <c r="A157" s="88"/>
      <c r="B157" s="92"/>
      <c r="C157" s="88"/>
      <c r="D157" s="10">
        <v>2018</v>
      </c>
      <c r="E157" s="13">
        <f t="shared" si="26"/>
        <v>3168</v>
      </c>
      <c r="F157" s="13">
        <f>F156*1.2</f>
        <v>3168</v>
      </c>
      <c r="G157" s="13"/>
      <c r="H157" s="13"/>
      <c r="I157" s="13"/>
      <c r="J157" s="10">
        <v>1</v>
      </c>
      <c r="K157" s="17"/>
      <c r="L157" s="90"/>
    </row>
    <row r="158" spans="1:12" ht="15">
      <c r="A158" s="88"/>
      <c r="B158" s="92"/>
      <c r="C158" s="88"/>
      <c r="D158" s="10">
        <v>2019</v>
      </c>
      <c r="E158" s="13">
        <f t="shared" si="26"/>
        <v>3801.6</v>
      </c>
      <c r="F158" s="13">
        <f>F157*1.2</f>
        <v>3801.6</v>
      </c>
      <c r="G158" s="13"/>
      <c r="H158" s="13"/>
      <c r="I158" s="13"/>
      <c r="J158" s="10">
        <v>1</v>
      </c>
      <c r="K158" s="17"/>
      <c r="L158" s="90"/>
    </row>
    <row r="159" spans="1:12" ht="15">
      <c r="A159" s="88"/>
      <c r="B159" s="92"/>
      <c r="C159" s="88"/>
      <c r="D159" s="10">
        <v>2020</v>
      </c>
      <c r="E159" s="13">
        <f t="shared" si="26"/>
        <v>4561.92</v>
      </c>
      <c r="F159" s="13">
        <f>F158*1.2</f>
        <v>4561.92</v>
      </c>
      <c r="G159" s="13"/>
      <c r="H159" s="13"/>
      <c r="I159" s="13"/>
      <c r="J159" s="10">
        <v>1</v>
      </c>
      <c r="K159" s="17"/>
      <c r="L159" s="90"/>
    </row>
    <row r="160" spans="1:12" ht="33.75">
      <c r="A160" s="87" t="s">
        <v>40</v>
      </c>
      <c r="B160" s="91" t="s">
        <v>39</v>
      </c>
      <c r="C160" s="87"/>
      <c r="D160" s="10" t="s">
        <v>7</v>
      </c>
      <c r="E160" s="12">
        <f>SUM(F160:I160)</f>
        <v>200</v>
      </c>
      <c r="F160" s="12">
        <f>SUM(F161:F167)</f>
        <v>200</v>
      </c>
      <c r="G160" s="12">
        <f>SUM(G161:G167)</f>
        <v>0</v>
      </c>
      <c r="H160" s="12">
        <f>SUM(H161:H167)</f>
        <v>0</v>
      </c>
      <c r="I160" s="12">
        <f>SUM(I161:I167)</f>
        <v>0</v>
      </c>
      <c r="J160" s="10" t="s">
        <v>38</v>
      </c>
      <c r="K160" s="17"/>
      <c r="L160" s="89" t="s">
        <v>37</v>
      </c>
    </row>
    <row r="161" spans="1:12" ht="15">
      <c r="A161" s="88"/>
      <c r="B161" s="92"/>
      <c r="C161" s="88"/>
      <c r="D161" s="10">
        <v>2014</v>
      </c>
      <c r="E161" s="13">
        <f t="shared" si="26"/>
        <v>0</v>
      </c>
      <c r="F161" s="13">
        <v>0</v>
      </c>
      <c r="G161" s="13"/>
      <c r="H161" s="13"/>
      <c r="I161" s="13"/>
      <c r="J161" s="10"/>
      <c r="K161" s="17"/>
      <c r="L161" s="90"/>
    </row>
    <row r="162" spans="1:12" ht="15">
      <c r="A162" s="88"/>
      <c r="B162" s="92"/>
      <c r="C162" s="88"/>
      <c r="D162" s="10">
        <v>2015</v>
      </c>
      <c r="E162" s="13">
        <f t="shared" si="26"/>
        <v>200</v>
      </c>
      <c r="F162" s="13">
        <v>200</v>
      </c>
      <c r="G162" s="13"/>
      <c r="H162" s="13"/>
      <c r="I162" s="13"/>
      <c r="J162" s="10">
        <v>1</v>
      </c>
      <c r="K162" s="17"/>
      <c r="L162" s="90"/>
    </row>
    <row r="163" spans="1:12" ht="15">
      <c r="A163" s="88"/>
      <c r="B163" s="92"/>
      <c r="C163" s="88"/>
      <c r="D163" s="10">
        <v>2016</v>
      </c>
      <c r="E163" s="13">
        <f t="shared" si="26"/>
        <v>0</v>
      </c>
      <c r="F163" s="13">
        <v>0</v>
      </c>
      <c r="G163" s="13"/>
      <c r="H163" s="13"/>
      <c r="I163" s="13"/>
      <c r="J163" s="10"/>
      <c r="K163" s="17"/>
      <c r="L163" s="90"/>
    </row>
    <row r="164" spans="1:12" ht="15">
      <c r="A164" s="88"/>
      <c r="B164" s="92"/>
      <c r="C164" s="88"/>
      <c r="D164" s="10">
        <v>2017</v>
      </c>
      <c r="E164" s="13">
        <f t="shared" si="26"/>
        <v>0</v>
      </c>
      <c r="F164" s="13">
        <v>0</v>
      </c>
      <c r="G164" s="13"/>
      <c r="H164" s="13"/>
      <c r="I164" s="13"/>
      <c r="J164" s="10"/>
      <c r="K164" s="17"/>
      <c r="L164" s="90"/>
    </row>
    <row r="165" spans="1:12" ht="15">
      <c r="A165" s="88"/>
      <c r="B165" s="92"/>
      <c r="C165" s="88"/>
      <c r="D165" s="10">
        <v>2018</v>
      </c>
      <c r="E165" s="13">
        <f t="shared" si="26"/>
        <v>0</v>
      </c>
      <c r="F165" s="13">
        <v>0</v>
      </c>
      <c r="G165" s="13"/>
      <c r="H165" s="13"/>
      <c r="I165" s="13"/>
      <c r="J165" s="10"/>
      <c r="K165" s="17"/>
      <c r="L165" s="90"/>
    </row>
    <row r="166" spans="1:12" ht="15">
      <c r="A166" s="88"/>
      <c r="B166" s="92"/>
      <c r="C166" s="88"/>
      <c r="D166" s="10">
        <v>2019</v>
      </c>
      <c r="E166" s="13">
        <f t="shared" si="26"/>
        <v>0</v>
      </c>
      <c r="F166" s="13">
        <v>0</v>
      </c>
      <c r="G166" s="13"/>
      <c r="H166" s="13"/>
      <c r="I166" s="13"/>
      <c r="J166" s="10"/>
      <c r="K166" s="17"/>
      <c r="L166" s="90"/>
    </row>
    <row r="167" spans="1:12" ht="15">
      <c r="A167" s="88"/>
      <c r="B167" s="92"/>
      <c r="C167" s="88"/>
      <c r="D167" s="10">
        <v>2020</v>
      </c>
      <c r="E167" s="13">
        <f t="shared" si="26"/>
        <v>0</v>
      </c>
      <c r="F167" s="13">
        <v>0</v>
      </c>
      <c r="G167" s="13"/>
      <c r="H167" s="13"/>
      <c r="I167" s="13"/>
      <c r="J167" s="10"/>
      <c r="K167" s="17"/>
      <c r="L167" s="90"/>
    </row>
    <row r="168" spans="1:12" ht="112.5">
      <c r="A168" s="87" t="s">
        <v>36</v>
      </c>
      <c r="B168" s="91" t="s">
        <v>35</v>
      </c>
      <c r="C168" s="89"/>
      <c r="D168" s="10" t="s">
        <v>7</v>
      </c>
      <c r="E168" s="12">
        <f>SUM(F168:I168)</f>
        <v>1366.24</v>
      </c>
      <c r="F168" s="12">
        <f>SUM(F169:F175)</f>
        <v>1366.24</v>
      </c>
      <c r="G168" s="12">
        <f>SUM(G169:G175)</f>
        <v>0</v>
      </c>
      <c r="H168" s="12">
        <f>SUM(H169:H175)</f>
        <v>0</v>
      </c>
      <c r="I168" s="12">
        <f>SUM(I169:I175)</f>
        <v>0</v>
      </c>
      <c r="J168" s="10" t="s">
        <v>34</v>
      </c>
      <c r="K168" s="10"/>
      <c r="L168" s="89" t="s">
        <v>27</v>
      </c>
    </row>
    <row r="169" spans="1:12" ht="15">
      <c r="A169" s="88"/>
      <c r="B169" s="92"/>
      <c r="C169" s="90"/>
      <c r="D169" s="10">
        <v>2014</v>
      </c>
      <c r="E169" s="13">
        <f>SUM(F169:I169)</f>
        <v>100</v>
      </c>
      <c r="F169" s="13">
        <v>100</v>
      </c>
      <c r="G169" s="13"/>
      <c r="H169" s="13"/>
      <c r="I169" s="13"/>
      <c r="J169" s="10">
        <v>1</v>
      </c>
      <c r="K169" s="17"/>
      <c r="L169" s="90"/>
    </row>
    <row r="170" spans="1:12" ht="15">
      <c r="A170" s="88"/>
      <c r="B170" s="92"/>
      <c r="C170" s="90"/>
      <c r="D170" s="10">
        <v>2015</v>
      </c>
      <c r="E170" s="13">
        <f aca="true" t="shared" si="27" ref="E170:E175">SUM(F170:I170)</f>
        <v>150</v>
      </c>
      <c r="F170" s="13">
        <v>150</v>
      </c>
      <c r="G170" s="13"/>
      <c r="H170" s="13"/>
      <c r="I170" s="13"/>
      <c r="J170" s="10">
        <v>1</v>
      </c>
      <c r="K170" s="17"/>
      <c r="L170" s="90"/>
    </row>
    <row r="171" spans="1:12" ht="15">
      <c r="A171" s="88"/>
      <c r="B171" s="92"/>
      <c r="C171" s="90"/>
      <c r="D171" s="10">
        <v>2016</v>
      </c>
      <c r="E171" s="13">
        <f t="shared" si="27"/>
        <v>150</v>
      </c>
      <c r="F171" s="13">
        <v>150</v>
      </c>
      <c r="G171" s="13"/>
      <c r="H171" s="13"/>
      <c r="I171" s="13"/>
      <c r="J171" s="10">
        <v>1</v>
      </c>
      <c r="K171" s="17"/>
      <c r="L171" s="90"/>
    </row>
    <row r="172" spans="1:12" ht="15">
      <c r="A172" s="88"/>
      <c r="B172" s="92"/>
      <c r="C172" s="90"/>
      <c r="D172" s="10">
        <v>2017</v>
      </c>
      <c r="E172" s="13">
        <f t="shared" si="27"/>
        <v>180</v>
      </c>
      <c r="F172" s="13">
        <f>F171*1.2</f>
        <v>180</v>
      </c>
      <c r="G172" s="13"/>
      <c r="H172" s="13"/>
      <c r="I172" s="13"/>
      <c r="J172" s="10">
        <v>1</v>
      </c>
      <c r="K172" s="17"/>
      <c r="L172" s="90"/>
    </row>
    <row r="173" spans="1:12" ht="15">
      <c r="A173" s="88"/>
      <c r="B173" s="92"/>
      <c r="C173" s="90"/>
      <c r="D173" s="10">
        <v>2018</v>
      </c>
      <c r="E173" s="13">
        <f t="shared" si="27"/>
        <v>216</v>
      </c>
      <c r="F173" s="13">
        <f>F172*1.2</f>
        <v>216</v>
      </c>
      <c r="G173" s="13"/>
      <c r="H173" s="13"/>
      <c r="I173" s="13"/>
      <c r="J173" s="10">
        <v>1</v>
      </c>
      <c r="K173" s="17"/>
      <c r="L173" s="90"/>
    </row>
    <row r="174" spans="1:12" ht="15">
      <c r="A174" s="88"/>
      <c r="B174" s="92"/>
      <c r="C174" s="90"/>
      <c r="D174" s="10">
        <v>2019</v>
      </c>
      <c r="E174" s="13">
        <f t="shared" si="27"/>
        <v>259.2</v>
      </c>
      <c r="F174" s="13">
        <f>F173*1.2</f>
        <v>259.2</v>
      </c>
      <c r="G174" s="13"/>
      <c r="H174" s="13"/>
      <c r="I174" s="13"/>
      <c r="J174" s="10">
        <v>1</v>
      </c>
      <c r="K174" s="17"/>
      <c r="L174" s="90"/>
    </row>
    <row r="175" spans="1:12" ht="15">
      <c r="A175" s="88"/>
      <c r="B175" s="92"/>
      <c r="C175" s="90"/>
      <c r="D175" s="10">
        <v>2020</v>
      </c>
      <c r="E175" s="13">
        <f t="shared" si="27"/>
        <v>311.03999999999996</v>
      </c>
      <c r="F175" s="13">
        <f>F174*1.2</f>
        <v>311.03999999999996</v>
      </c>
      <c r="G175" s="13"/>
      <c r="H175" s="13"/>
      <c r="I175" s="13"/>
      <c r="J175" s="10">
        <v>1</v>
      </c>
      <c r="K175" s="17"/>
      <c r="L175" s="90"/>
    </row>
    <row r="176" spans="1:12" ht="56.25">
      <c r="A176" s="87" t="s">
        <v>33</v>
      </c>
      <c r="B176" s="91" t="s">
        <v>32</v>
      </c>
      <c r="C176" s="89"/>
      <c r="D176" s="10" t="s">
        <v>7</v>
      </c>
      <c r="E176" s="12">
        <f>SUM(F176:I176)</f>
        <v>3887.6800000000003</v>
      </c>
      <c r="F176" s="12">
        <f>SUM(F177:F183)</f>
        <v>3887.6800000000003</v>
      </c>
      <c r="G176" s="12">
        <f>SUM(G177:G183)</f>
        <v>0</v>
      </c>
      <c r="H176" s="12">
        <f>SUM(H177:H183)</f>
        <v>0</v>
      </c>
      <c r="I176" s="12">
        <f>SUM(I177:I183)</f>
        <v>0</v>
      </c>
      <c r="J176" s="10" t="s">
        <v>31</v>
      </c>
      <c r="K176" s="10"/>
      <c r="L176" s="89" t="s">
        <v>27</v>
      </c>
    </row>
    <row r="177" spans="1:12" ht="15">
      <c r="A177" s="88"/>
      <c r="B177" s="92"/>
      <c r="C177" s="90"/>
      <c r="D177" s="10">
        <v>2014</v>
      </c>
      <c r="E177" s="13">
        <f>SUM(F177:I177)</f>
        <v>300</v>
      </c>
      <c r="F177" s="13">
        <f>125+175</f>
        <v>300</v>
      </c>
      <c r="G177" s="13"/>
      <c r="H177" s="13"/>
      <c r="I177" s="13"/>
      <c r="J177" s="10">
        <v>1</v>
      </c>
      <c r="K177" s="17"/>
      <c r="L177" s="90"/>
    </row>
    <row r="178" spans="1:12" ht="15">
      <c r="A178" s="88"/>
      <c r="B178" s="92"/>
      <c r="C178" s="90"/>
      <c r="D178" s="10">
        <v>2015</v>
      </c>
      <c r="E178" s="13">
        <f aca="true" t="shared" si="28" ref="E178:E183">SUM(F178:I178)</f>
        <v>425</v>
      </c>
      <c r="F178" s="13">
        <f>250+175</f>
        <v>425</v>
      </c>
      <c r="G178" s="13"/>
      <c r="H178" s="13"/>
      <c r="I178" s="13"/>
      <c r="J178" s="10">
        <v>1</v>
      </c>
      <c r="K178" s="17"/>
      <c r="L178" s="90"/>
    </row>
    <row r="179" spans="1:12" ht="15">
      <c r="A179" s="88"/>
      <c r="B179" s="92"/>
      <c r="C179" s="90"/>
      <c r="D179" s="10">
        <v>2016</v>
      </c>
      <c r="E179" s="13">
        <f t="shared" si="28"/>
        <v>425</v>
      </c>
      <c r="F179" s="13">
        <f>250+175</f>
        <v>425</v>
      </c>
      <c r="G179" s="13"/>
      <c r="H179" s="13"/>
      <c r="I179" s="13"/>
      <c r="J179" s="10">
        <v>1</v>
      </c>
      <c r="K179" s="17"/>
      <c r="L179" s="90"/>
    </row>
    <row r="180" spans="1:12" ht="15">
      <c r="A180" s="88"/>
      <c r="B180" s="92"/>
      <c r="C180" s="90"/>
      <c r="D180" s="10">
        <v>2017</v>
      </c>
      <c r="E180" s="13">
        <f t="shared" si="28"/>
        <v>510</v>
      </c>
      <c r="F180" s="13">
        <f>F179*1.2</f>
        <v>510</v>
      </c>
      <c r="G180" s="13"/>
      <c r="H180" s="13"/>
      <c r="I180" s="13"/>
      <c r="J180" s="10">
        <v>1</v>
      </c>
      <c r="K180" s="17"/>
      <c r="L180" s="90"/>
    </row>
    <row r="181" spans="1:12" ht="15">
      <c r="A181" s="88"/>
      <c r="B181" s="92"/>
      <c r="C181" s="90"/>
      <c r="D181" s="10">
        <v>2018</v>
      </c>
      <c r="E181" s="13">
        <f t="shared" si="28"/>
        <v>612</v>
      </c>
      <c r="F181" s="13">
        <f>F180*1.2</f>
        <v>612</v>
      </c>
      <c r="G181" s="13"/>
      <c r="H181" s="13"/>
      <c r="I181" s="13"/>
      <c r="J181" s="10">
        <v>1</v>
      </c>
      <c r="K181" s="17"/>
      <c r="L181" s="90"/>
    </row>
    <row r="182" spans="1:12" ht="15">
      <c r="A182" s="88"/>
      <c r="B182" s="92"/>
      <c r="C182" s="90"/>
      <c r="D182" s="10">
        <v>2019</v>
      </c>
      <c r="E182" s="13">
        <f t="shared" si="28"/>
        <v>734.4</v>
      </c>
      <c r="F182" s="13">
        <f>F181*1.2</f>
        <v>734.4</v>
      </c>
      <c r="G182" s="13"/>
      <c r="H182" s="13"/>
      <c r="I182" s="13"/>
      <c r="J182" s="10">
        <v>1</v>
      </c>
      <c r="K182" s="17"/>
      <c r="L182" s="90"/>
    </row>
    <row r="183" spans="1:12" ht="15">
      <c r="A183" s="88"/>
      <c r="B183" s="92"/>
      <c r="C183" s="90"/>
      <c r="D183" s="10">
        <v>2020</v>
      </c>
      <c r="E183" s="13">
        <f t="shared" si="28"/>
        <v>881.28</v>
      </c>
      <c r="F183" s="13">
        <f>F182*1.2</f>
        <v>881.28</v>
      </c>
      <c r="G183" s="13"/>
      <c r="H183" s="13"/>
      <c r="I183" s="13"/>
      <c r="J183" s="10">
        <v>1</v>
      </c>
      <c r="K183" s="17"/>
      <c r="L183" s="90"/>
    </row>
    <row r="184" spans="1:12" ht="56.25">
      <c r="A184" s="87" t="s">
        <v>30</v>
      </c>
      <c r="B184" s="91" t="s">
        <v>29</v>
      </c>
      <c r="C184" s="89"/>
      <c r="D184" s="10" t="s">
        <v>7</v>
      </c>
      <c r="E184" s="12">
        <f>SUM(F184:I184)</f>
        <v>51343.3408</v>
      </c>
      <c r="F184" s="12">
        <f>SUM(F185:F191)</f>
        <v>51343.3408</v>
      </c>
      <c r="G184" s="12">
        <f>SUM(G185:G191)</f>
        <v>0</v>
      </c>
      <c r="H184" s="12">
        <f>SUM(H185:H191)</f>
        <v>0</v>
      </c>
      <c r="I184" s="12">
        <f>SUM(I185:I191)</f>
        <v>0</v>
      </c>
      <c r="J184" s="10" t="s">
        <v>28</v>
      </c>
      <c r="K184" s="10"/>
      <c r="L184" s="89" t="s">
        <v>27</v>
      </c>
    </row>
    <row r="185" spans="1:12" ht="15">
      <c r="A185" s="88"/>
      <c r="B185" s="92"/>
      <c r="C185" s="90"/>
      <c r="D185" s="10">
        <v>2014</v>
      </c>
      <c r="E185" s="13">
        <f>SUM(F185:I185)</f>
        <v>5860</v>
      </c>
      <c r="F185" s="13">
        <v>5860</v>
      </c>
      <c r="G185" s="13"/>
      <c r="H185" s="13"/>
      <c r="I185" s="13"/>
      <c r="J185" s="10">
        <v>1</v>
      </c>
      <c r="K185" s="17"/>
      <c r="L185" s="90"/>
    </row>
    <row r="186" spans="1:12" ht="15">
      <c r="A186" s="88"/>
      <c r="B186" s="92"/>
      <c r="C186" s="90"/>
      <c r="D186" s="10">
        <v>2015</v>
      </c>
      <c r="E186" s="13">
        <f aca="true" t="shared" si="29" ref="E186:E223">SUM(F186:I186)</f>
        <v>5388</v>
      </c>
      <c r="F186" s="13">
        <v>5388</v>
      </c>
      <c r="G186" s="13"/>
      <c r="H186" s="13"/>
      <c r="I186" s="13"/>
      <c r="J186" s="10">
        <v>1</v>
      </c>
      <c r="K186" s="17"/>
      <c r="L186" s="90"/>
    </row>
    <row r="187" spans="1:12" ht="15">
      <c r="A187" s="88"/>
      <c r="B187" s="92"/>
      <c r="C187" s="90"/>
      <c r="D187" s="10">
        <v>2016</v>
      </c>
      <c r="E187" s="13">
        <f t="shared" si="29"/>
        <v>5388</v>
      </c>
      <c r="F187" s="13">
        <f>F186</f>
        <v>5388</v>
      </c>
      <c r="G187" s="13"/>
      <c r="H187" s="13"/>
      <c r="I187" s="13"/>
      <c r="J187" s="10">
        <v>1</v>
      </c>
      <c r="K187" s="17"/>
      <c r="L187" s="90"/>
    </row>
    <row r="188" spans="1:12" ht="15">
      <c r="A188" s="88"/>
      <c r="B188" s="92"/>
      <c r="C188" s="90"/>
      <c r="D188" s="10">
        <v>2017</v>
      </c>
      <c r="E188" s="13">
        <f t="shared" si="29"/>
        <v>6465.599999999999</v>
      </c>
      <c r="F188" s="13">
        <f>F187*1.2</f>
        <v>6465.599999999999</v>
      </c>
      <c r="G188" s="13"/>
      <c r="H188" s="13"/>
      <c r="I188" s="13"/>
      <c r="J188" s="10">
        <v>1</v>
      </c>
      <c r="K188" s="17"/>
      <c r="L188" s="90"/>
    </row>
    <row r="189" spans="1:12" ht="15">
      <c r="A189" s="88"/>
      <c r="B189" s="92"/>
      <c r="C189" s="90"/>
      <c r="D189" s="10">
        <v>2018</v>
      </c>
      <c r="E189" s="13">
        <f t="shared" si="29"/>
        <v>7758.719999999999</v>
      </c>
      <c r="F189" s="13">
        <f>F188*1.2</f>
        <v>7758.719999999999</v>
      </c>
      <c r="G189" s="13"/>
      <c r="H189" s="13"/>
      <c r="I189" s="13"/>
      <c r="J189" s="10">
        <v>1</v>
      </c>
      <c r="K189" s="17"/>
      <c r="L189" s="90"/>
    </row>
    <row r="190" spans="1:12" ht="15">
      <c r="A190" s="88"/>
      <c r="B190" s="92"/>
      <c r="C190" s="90"/>
      <c r="D190" s="10">
        <v>2019</v>
      </c>
      <c r="E190" s="13">
        <f t="shared" si="29"/>
        <v>9310.463999999998</v>
      </c>
      <c r="F190" s="13">
        <f>F189*1.2</f>
        <v>9310.463999999998</v>
      </c>
      <c r="G190" s="13"/>
      <c r="H190" s="13"/>
      <c r="I190" s="13"/>
      <c r="J190" s="10">
        <v>1</v>
      </c>
      <c r="K190" s="17"/>
      <c r="L190" s="90"/>
    </row>
    <row r="191" spans="1:12" ht="15">
      <c r="A191" s="88"/>
      <c r="B191" s="92"/>
      <c r="C191" s="90"/>
      <c r="D191" s="10">
        <v>2020</v>
      </c>
      <c r="E191" s="13">
        <f t="shared" si="29"/>
        <v>11172.556799999997</v>
      </c>
      <c r="F191" s="13">
        <f>F190*1.2</f>
        <v>11172.556799999997</v>
      </c>
      <c r="G191" s="13"/>
      <c r="H191" s="13"/>
      <c r="I191" s="13"/>
      <c r="J191" s="10">
        <v>1</v>
      </c>
      <c r="K191" s="17"/>
      <c r="L191" s="90"/>
    </row>
    <row r="192" spans="1:12" ht="15">
      <c r="A192" s="87" t="s">
        <v>26</v>
      </c>
      <c r="B192" s="91" t="s">
        <v>25</v>
      </c>
      <c r="C192" s="86"/>
      <c r="D192" s="10" t="s">
        <v>7</v>
      </c>
      <c r="E192" s="12">
        <f t="shared" si="29"/>
        <v>12752.240000000002</v>
      </c>
      <c r="F192" s="12">
        <f>SUM(F193:F199)</f>
        <v>12752.240000000002</v>
      </c>
      <c r="G192" s="12">
        <f>SUM(G193:G199)</f>
        <v>0</v>
      </c>
      <c r="H192" s="12">
        <f>SUM(H193:H199)</f>
        <v>0</v>
      </c>
      <c r="I192" s="12">
        <f>SUM(I193:I199)</f>
        <v>0</v>
      </c>
      <c r="J192" s="93" t="s">
        <v>24</v>
      </c>
      <c r="K192" s="94"/>
      <c r="L192" s="89"/>
    </row>
    <row r="193" spans="1:12" ht="15">
      <c r="A193" s="88"/>
      <c r="B193" s="92"/>
      <c r="C193" s="86"/>
      <c r="D193" s="10">
        <v>2014</v>
      </c>
      <c r="E193" s="13">
        <f t="shared" si="29"/>
        <v>1730</v>
      </c>
      <c r="F193" s="13">
        <f aca="true" t="shared" si="30" ref="F193:I199">F201+F209+F217+F225+F233</f>
        <v>1730</v>
      </c>
      <c r="G193" s="13">
        <f t="shared" si="30"/>
        <v>0</v>
      </c>
      <c r="H193" s="13">
        <f t="shared" si="30"/>
        <v>0</v>
      </c>
      <c r="I193" s="13">
        <f t="shared" si="30"/>
        <v>0</v>
      </c>
      <c r="J193" s="95"/>
      <c r="K193" s="96"/>
      <c r="L193" s="90"/>
    </row>
    <row r="194" spans="1:12" ht="15">
      <c r="A194" s="88"/>
      <c r="B194" s="92"/>
      <c r="C194" s="86"/>
      <c r="D194" s="10">
        <v>2015</v>
      </c>
      <c r="E194" s="13">
        <f t="shared" si="29"/>
        <v>1635</v>
      </c>
      <c r="F194" s="13">
        <f t="shared" si="30"/>
        <v>1635</v>
      </c>
      <c r="G194" s="13">
        <f t="shared" si="30"/>
        <v>0</v>
      </c>
      <c r="H194" s="13">
        <f t="shared" si="30"/>
        <v>0</v>
      </c>
      <c r="I194" s="13">
        <f t="shared" si="30"/>
        <v>0</v>
      </c>
      <c r="J194" s="95"/>
      <c r="K194" s="96"/>
      <c r="L194" s="90"/>
    </row>
    <row r="195" spans="1:12" ht="15">
      <c r="A195" s="88"/>
      <c r="B195" s="92"/>
      <c r="C195" s="86"/>
      <c r="D195" s="10">
        <v>2016</v>
      </c>
      <c r="E195" s="13">
        <f t="shared" si="29"/>
        <v>1635</v>
      </c>
      <c r="F195" s="13">
        <f t="shared" si="30"/>
        <v>1635</v>
      </c>
      <c r="G195" s="13">
        <f t="shared" si="30"/>
        <v>0</v>
      </c>
      <c r="H195" s="13">
        <f t="shared" si="30"/>
        <v>0</v>
      </c>
      <c r="I195" s="13">
        <f t="shared" si="30"/>
        <v>0</v>
      </c>
      <c r="J195" s="95"/>
      <c r="K195" s="96"/>
      <c r="L195" s="90"/>
    </row>
    <row r="196" spans="1:12" ht="15">
      <c r="A196" s="88"/>
      <c r="B196" s="92"/>
      <c r="C196" s="86"/>
      <c r="D196" s="10">
        <v>2017</v>
      </c>
      <c r="E196" s="13">
        <f t="shared" si="29"/>
        <v>1815</v>
      </c>
      <c r="F196" s="13">
        <f t="shared" si="30"/>
        <v>1815</v>
      </c>
      <c r="G196" s="13">
        <f t="shared" si="30"/>
        <v>0</v>
      </c>
      <c r="H196" s="13">
        <f t="shared" si="30"/>
        <v>0</v>
      </c>
      <c r="I196" s="13">
        <f t="shared" si="30"/>
        <v>0</v>
      </c>
      <c r="J196" s="95"/>
      <c r="K196" s="96"/>
      <c r="L196" s="90"/>
    </row>
    <row r="197" spans="1:12" ht="15">
      <c r="A197" s="88"/>
      <c r="B197" s="92"/>
      <c r="C197" s="86"/>
      <c r="D197" s="10">
        <v>2018</v>
      </c>
      <c r="E197" s="13">
        <f t="shared" si="29"/>
        <v>1887</v>
      </c>
      <c r="F197" s="13">
        <f t="shared" si="30"/>
        <v>1887</v>
      </c>
      <c r="G197" s="13">
        <f t="shared" si="30"/>
        <v>0</v>
      </c>
      <c r="H197" s="13">
        <f t="shared" si="30"/>
        <v>0</v>
      </c>
      <c r="I197" s="13">
        <f t="shared" si="30"/>
        <v>0</v>
      </c>
      <c r="J197" s="95"/>
      <c r="K197" s="96"/>
      <c r="L197" s="90"/>
    </row>
    <row r="198" spans="1:12" ht="15">
      <c r="A198" s="88"/>
      <c r="B198" s="92"/>
      <c r="C198" s="86"/>
      <c r="D198" s="10">
        <v>2019</v>
      </c>
      <c r="E198" s="13">
        <f t="shared" si="29"/>
        <v>1973.2</v>
      </c>
      <c r="F198" s="13">
        <f t="shared" si="30"/>
        <v>1973.2</v>
      </c>
      <c r="G198" s="13">
        <f t="shared" si="30"/>
        <v>0</v>
      </c>
      <c r="H198" s="13">
        <f t="shared" si="30"/>
        <v>0</v>
      </c>
      <c r="I198" s="13">
        <f t="shared" si="30"/>
        <v>0</v>
      </c>
      <c r="J198" s="95"/>
      <c r="K198" s="96"/>
      <c r="L198" s="90"/>
    </row>
    <row r="199" spans="1:12" ht="15">
      <c r="A199" s="88"/>
      <c r="B199" s="92"/>
      <c r="C199" s="86"/>
      <c r="D199" s="10">
        <v>2020</v>
      </c>
      <c r="E199" s="13">
        <f t="shared" si="29"/>
        <v>2077.04</v>
      </c>
      <c r="F199" s="13">
        <f t="shared" si="30"/>
        <v>2077.04</v>
      </c>
      <c r="G199" s="13">
        <f t="shared" si="30"/>
        <v>0</v>
      </c>
      <c r="H199" s="13">
        <f t="shared" si="30"/>
        <v>0</v>
      </c>
      <c r="I199" s="13">
        <f t="shared" si="30"/>
        <v>0</v>
      </c>
      <c r="J199" s="95"/>
      <c r="K199" s="96"/>
      <c r="L199" s="90"/>
    </row>
    <row r="200" spans="1:12" ht="101.25">
      <c r="A200" s="87" t="s">
        <v>23</v>
      </c>
      <c r="B200" s="91" t="s">
        <v>22</v>
      </c>
      <c r="C200" s="89"/>
      <c r="D200" s="10" t="s">
        <v>7</v>
      </c>
      <c r="E200" s="12">
        <f t="shared" si="29"/>
        <v>856</v>
      </c>
      <c r="F200" s="12">
        <f>SUM(F201:F207)</f>
        <v>856</v>
      </c>
      <c r="G200" s="12">
        <f>SUM(G201:G207)</f>
        <v>0</v>
      </c>
      <c r="H200" s="12">
        <f>SUM(H201:H207)</f>
        <v>0</v>
      </c>
      <c r="I200" s="12">
        <f>SUM(I201:I207)</f>
        <v>0</v>
      </c>
      <c r="J200" s="10" t="s">
        <v>14</v>
      </c>
      <c r="K200" s="10"/>
      <c r="L200" s="89" t="s">
        <v>21</v>
      </c>
    </row>
    <row r="201" spans="1:12" ht="15">
      <c r="A201" s="88"/>
      <c r="B201" s="92"/>
      <c r="C201" s="90"/>
      <c r="D201" s="10">
        <v>2014</v>
      </c>
      <c r="E201" s="13">
        <f t="shared" si="29"/>
        <v>80</v>
      </c>
      <c r="F201" s="13">
        <v>80</v>
      </c>
      <c r="G201" s="13"/>
      <c r="H201" s="13"/>
      <c r="I201" s="13"/>
      <c r="J201" s="10">
        <v>100</v>
      </c>
      <c r="K201" s="17"/>
      <c r="L201" s="90"/>
    </row>
    <row r="202" spans="1:12" ht="15">
      <c r="A202" s="88"/>
      <c r="B202" s="92"/>
      <c r="C202" s="90"/>
      <c r="D202" s="10">
        <v>2015</v>
      </c>
      <c r="E202" s="13">
        <f t="shared" si="29"/>
        <v>80</v>
      </c>
      <c r="F202" s="13">
        <v>80</v>
      </c>
      <c r="G202" s="13"/>
      <c r="H202" s="13"/>
      <c r="I202" s="13"/>
      <c r="J202" s="10">
        <v>100</v>
      </c>
      <c r="K202" s="17"/>
      <c r="L202" s="90"/>
    </row>
    <row r="203" spans="1:12" ht="15">
      <c r="A203" s="88"/>
      <c r="B203" s="92"/>
      <c r="C203" s="90"/>
      <c r="D203" s="10">
        <v>2016</v>
      </c>
      <c r="E203" s="13">
        <f t="shared" si="29"/>
        <v>80</v>
      </c>
      <c r="F203" s="13">
        <v>80</v>
      </c>
      <c r="G203" s="13"/>
      <c r="H203" s="13"/>
      <c r="I203" s="13"/>
      <c r="J203" s="10">
        <v>100</v>
      </c>
      <c r="K203" s="17"/>
      <c r="L203" s="90"/>
    </row>
    <row r="204" spans="1:12" ht="15">
      <c r="A204" s="88"/>
      <c r="B204" s="92"/>
      <c r="C204" s="90"/>
      <c r="D204" s="10">
        <v>2017</v>
      </c>
      <c r="E204" s="13">
        <f t="shared" si="29"/>
        <v>100</v>
      </c>
      <c r="F204" s="13">
        <v>100</v>
      </c>
      <c r="G204" s="13"/>
      <c r="H204" s="13"/>
      <c r="I204" s="13"/>
      <c r="J204" s="10">
        <v>100</v>
      </c>
      <c r="K204" s="17"/>
      <c r="L204" s="90"/>
    </row>
    <row r="205" spans="1:12" ht="15">
      <c r="A205" s="88"/>
      <c r="B205" s="92"/>
      <c r="C205" s="90"/>
      <c r="D205" s="10">
        <v>2018</v>
      </c>
      <c r="E205" s="13">
        <f t="shared" si="29"/>
        <v>136</v>
      </c>
      <c r="F205" s="13">
        <v>136</v>
      </c>
      <c r="G205" s="13"/>
      <c r="H205" s="13"/>
      <c r="I205" s="13"/>
      <c r="J205" s="10">
        <v>100</v>
      </c>
      <c r="K205" s="17"/>
      <c r="L205" s="90"/>
    </row>
    <row r="206" spans="1:12" ht="15">
      <c r="A206" s="88"/>
      <c r="B206" s="92"/>
      <c r="C206" s="90"/>
      <c r="D206" s="10">
        <v>2019</v>
      </c>
      <c r="E206" s="13">
        <f t="shared" si="29"/>
        <v>169</v>
      </c>
      <c r="F206" s="13">
        <v>169</v>
      </c>
      <c r="G206" s="13"/>
      <c r="H206" s="13"/>
      <c r="I206" s="13"/>
      <c r="J206" s="10">
        <v>100</v>
      </c>
      <c r="K206" s="17"/>
      <c r="L206" s="90"/>
    </row>
    <row r="207" spans="1:12" ht="15">
      <c r="A207" s="88"/>
      <c r="B207" s="92"/>
      <c r="C207" s="90"/>
      <c r="D207" s="10">
        <v>2020</v>
      </c>
      <c r="E207" s="13">
        <f t="shared" si="29"/>
        <v>211</v>
      </c>
      <c r="F207" s="13">
        <v>211</v>
      </c>
      <c r="G207" s="13"/>
      <c r="H207" s="13"/>
      <c r="I207" s="13"/>
      <c r="J207" s="10">
        <v>100</v>
      </c>
      <c r="K207" s="17"/>
      <c r="L207" s="90"/>
    </row>
    <row r="208" spans="1:12" ht="202.5">
      <c r="A208" s="87" t="s">
        <v>20</v>
      </c>
      <c r="B208" s="91" t="s">
        <v>19</v>
      </c>
      <c r="C208" s="89"/>
      <c r="D208" s="10" t="s">
        <v>7</v>
      </c>
      <c r="E208" s="12">
        <f t="shared" si="29"/>
        <v>10495</v>
      </c>
      <c r="F208" s="12">
        <f>SUM(F209:F215)</f>
        <v>10495</v>
      </c>
      <c r="G208" s="12">
        <f>SUM(G209:G215)</f>
        <v>0</v>
      </c>
      <c r="H208" s="12">
        <f>SUM(H209:H215)</f>
        <v>0</v>
      </c>
      <c r="I208" s="12">
        <f>SUM(I209:I215)</f>
        <v>0</v>
      </c>
      <c r="J208" s="10" t="s">
        <v>18</v>
      </c>
      <c r="K208" s="10" t="s">
        <v>17</v>
      </c>
      <c r="L208" s="86" t="s">
        <v>13</v>
      </c>
    </row>
    <row r="209" spans="1:12" ht="15">
      <c r="A209" s="88"/>
      <c r="B209" s="92"/>
      <c r="C209" s="90"/>
      <c r="D209" s="10">
        <v>2014</v>
      </c>
      <c r="E209" s="13">
        <f t="shared" si="29"/>
        <v>1515</v>
      </c>
      <c r="F209" s="13">
        <f>60+1210+110+135</f>
        <v>1515</v>
      </c>
      <c r="G209" s="13"/>
      <c r="H209" s="13"/>
      <c r="I209" s="13"/>
      <c r="J209" s="10">
        <v>100</v>
      </c>
      <c r="K209" s="17">
        <v>100</v>
      </c>
      <c r="L209" s="86"/>
    </row>
    <row r="210" spans="1:12" ht="15">
      <c r="A210" s="88"/>
      <c r="B210" s="92"/>
      <c r="C210" s="90"/>
      <c r="D210" s="10">
        <v>2015</v>
      </c>
      <c r="E210" s="13">
        <f t="shared" si="29"/>
        <v>1405</v>
      </c>
      <c r="F210" s="13">
        <f>70+1090+110+135</f>
        <v>1405</v>
      </c>
      <c r="G210" s="13"/>
      <c r="H210" s="13"/>
      <c r="I210" s="13"/>
      <c r="J210" s="10">
        <v>100</v>
      </c>
      <c r="K210" s="17">
        <v>100</v>
      </c>
      <c r="L210" s="86"/>
    </row>
    <row r="211" spans="1:12" ht="15">
      <c r="A211" s="88"/>
      <c r="B211" s="92"/>
      <c r="C211" s="90"/>
      <c r="D211" s="10">
        <v>2016</v>
      </c>
      <c r="E211" s="13">
        <f t="shared" si="29"/>
        <v>1405</v>
      </c>
      <c r="F211" s="13">
        <f>70+1090+110+135</f>
        <v>1405</v>
      </c>
      <c r="G211" s="13"/>
      <c r="H211" s="13"/>
      <c r="I211" s="13"/>
      <c r="J211" s="10">
        <v>100</v>
      </c>
      <c r="K211" s="17">
        <v>100</v>
      </c>
      <c r="L211" s="86"/>
    </row>
    <row r="212" spans="1:12" ht="15">
      <c r="A212" s="88"/>
      <c r="B212" s="92"/>
      <c r="C212" s="90"/>
      <c r="D212" s="10">
        <v>2017</v>
      </c>
      <c r="E212" s="13">
        <f t="shared" si="29"/>
        <v>1535</v>
      </c>
      <c r="F212" s="13">
        <f>80+1210+110+135</f>
        <v>1535</v>
      </c>
      <c r="G212" s="13"/>
      <c r="H212" s="13"/>
      <c r="I212" s="13"/>
      <c r="J212" s="10">
        <v>100</v>
      </c>
      <c r="K212" s="17">
        <v>100</v>
      </c>
      <c r="L212" s="86"/>
    </row>
    <row r="213" spans="1:12" ht="15">
      <c r="A213" s="88"/>
      <c r="B213" s="92"/>
      <c r="C213" s="90"/>
      <c r="D213" s="10">
        <v>2018</v>
      </c>
      <c r="E213" s="13">
        <f t="shared" si="29"/>
        <v>1535</v>
      </c>
      <c r="F213" s="13">
        <f>80+1210+110+135</f>
        <v>1535</v>
      </c>
      <c r="G213" s="13"/>
      <c r="H213" s="13"/>
      <c r="I213" s="13"/>
      <c r="J213" s="10">
        <v>100</v>
      </c>
      <c r="K213" s="17">
        <v>100</v>
      </c>
      <c r="L213" s="86"/>
    </row>
    <row r="214" spans="1:12" ht="15">
      <c r="A214" s="88"/>
      <c r="B214" s="92"/>
      <c r="C214" s="90"/>
      <c r="D214" s="10">
        <v>2019</v>
      </c>
      <c r="E214" s="13">
        <f t="shared" si="29"/>
        <v>1545</v>
      </c>
      <c r="F214" s="13">
        <f>90+1210+110+135</f>
        <v>1545</v>
      </c>
      <c r="G214" s="13"/>
      <c r="H214" s="13"/>
      <c r="I214" s="13"/>
      <c r="J214" s="10">
        <v>100</v>
      </c>
      <c r="K214" s="17">
        <v>100</v>
      </c>
      <c r="L214" s="86"/>
    </row>
    <row r="215" spans="1:12" ht="15">
      <c r="A215" s="88"/>
      <c r="B215" s="92"/>
      <c r="C215" s="90"/>
      <c r="D215" s="10">
        <v>2020</v>
      </c>
      <c r="E215" s="13">
        <f t="shared" si="29"/>
        <v>1555</v>
      </c>
      <c r="F215" s="13">
        <f>100+1210+110+135</f>
        <v>1555</v>
      </c>
      <c r="G215" s="13"/>
      <c r="H215" s="13"/>
      <c r="I215" s="13"/>
      <c r="J215" s="10">
        <v>100</v>
      </c>
      <c r="K215" s="17">
        <v>100</v>
      </c>
      <c r="L215" s="86"/>
    </row>
    <row r="216" spans="1:12" ht="101.25">
      <c r="A216" s="87" t="s">
        <v>16</v>
      </c>
      <c r="B216" s="85" t="s">
        <v>15</v>
      </c>
      <c r="C216" s="86"/>
      <c r="D216" s="10" t="s">
        <v>7</v>
      </c>
      <c r="E216" s="12">
        <f t="shared" si="29"/>
        <v>1401.24</v>
      </c>
      <c r="F216" s="12">
        <f>SUM(F217:F223)</f>
        <v>1401.24</v>
      </c>
      <c r="G216" s="12">
        <f>SUM(G217:G223)</f>
        <v>0</v>
      </c>
      <c r="H216" s="12">
        <f>SUM(H217:H223)</f>
        <v>0</v>
      </c>
      <c r="I216" s="12">
        <f>SUM(I217:I223)</f>
        <v>0</v>
      </c>
      <c r="J216" s="10" t="s">
        <v>14</v>
      </c>
      <c r="K216" s="10"/>
      <c r="L216" s="86" t="s">
        <v>13</v>
      </c>
    </row>
    <row r="217" spans="1:12" ht="15">
      <c r="A217" s="88"/>
      <c r="B217" s="85"/>
      <c r="C217" s="86"/>
      <c r="D217" s="10">
        <v>2014</v>
      </c>
      <c r="E217" s="13">
        <f t="shared" si="29"/>
        <v>135</v>
      </c>
      <c r="F217" s="13">
        <v>135</v>
      </c>
      <c r="G217" s="13"/>
      <c r="H217" s="13"/>
      <c r="I217" s="13"/>
      <c r="J217" s="10">
        <v>100</v>
      </c>
      <c r="K217" s="17"/>
      <c r="L217" s="86"/>
    </row>
    <row r="218" spans="1:12" ht="15">
      <c r="A218" s="88"/>
      <c r="B218" s="85"/>
      <c r="C218" s="86"/>
      <c r="D218" s="10">
        <v>2015</v>
      </c>
      <c r="E218" s="13">
        <f t="shared" si="29"/>
        <v>150</v>
      </c>
      <c r="F218" s="13">
        <v>150</v>
      </c>
      <c r="G218" s="13"/>
      <c r="H218" s="13"/>
      <c r="I218" s="13"/>
      <c r="J218" s="10">
        <v>100</v>
      </c>
      <c r="K218" s="17"/>
      <c r="L218" s="86"/>
    </row>
    <row r="219" spans="1:12" ht="15">
      <c r="A219" s="88"/>
      <c r="B219" s="85"/>
      <c r="C219" s="86"/>
      <c r="D219" s="10">
        <v>2016</v>
      </c>
      <c r="E219" s="13">
        <f t="shared" si="29"/>
        <v>150</v>
      </c>
      <c r="F219" s="13">
        <f>F218</f>
        <v>150</v>
      </c>
      <c r="G219" s="13"/>
      <c r="H219" s="13"/>
      <c r="I219" s="13"/>
      <c r="J219" s="10">
        <v>100</v>
      </c>
      <c r="K219" s="17"/>
      <c r="L219" s="86"/>
    </row>
    <row r="220" spans="1:12" ht="15">
      <c r="A220" s="88"/>
      <c r="B220" s="85"/>
      <c r="C220" s="86"/>
      <c r="D220" s="10">
        <v>2017</v>
      </c>
      <c r="E220" s="13">
        <f t="shared" si="29"/>
        <v>180</v>
      </c>
      <c r="F220" s="13">
        <f>F219*1.2</f>
        <v>180</v>
      </c>
      <c r="G220" s="13"/>
      <c r="H220" s="13"/>
      <c r="I220" s="13"/>
      <c r="J220" s="10">
        <v>100</v>
      </c>
      <c r="K220" s="17"/>
      <c r="L220" s="86"/>
    </row>
    <row r="221" spans="1:12" ht="15">
      <c r="A221" s="88"/>
      <c r="B221" s="85"/>
      <c r="C221" s="86"/>
      <c r="D221" s="10">
        <v>2018</v>
      </c>
      <c r="E221" s="13">
        <f t="shared" si="29"/>
        <v>216</v>
      </c>
      <c r="F221" s="13">
        <f>F220*1.2</f>
        <v>216</v>
      </c>
      <c r="G221" s="13"/>
      <c r="H221" s="13"/>
      <c r="I221" s="13"/>
      <c r="J221" s="10">
        <v>100</v>
      </c>
      <c r="K221" s="17"/>
      <c r="L221" s="86"/>
    </row>
    <row r="222" spans="1:12" ht="15">
      <c r="A222" s="88"/>
      <c r="B222" s="85"/>
      <c r="C222" s="86"/>
      <c r="D222" s="10">
        <v>2019</v>
      </c>
      <c r="E222" s="13">
        <f t="shared" si="29"/>
        <v>259.2</v>
      </c>
      <c r="F222" s="13">
        <f>F221*1.2</f>
        <v>259.2</v>
      </c>
      <c r="G222" s="13"/>
      <c r="H222" s="13"/>
      <c r="I222" s="13"/>
      <c r="J222" s="10">
        <v>100</v>
      </c>
      <c r="K222" s="17"/>
      <c r="L222" s="86"/>
    </row>
    <row r="223" spans="1:12" ht="15">
      <c r="A223" s="88"/>
      <c r="B223" s="85"/>
      <c r="C223" s="86"/>
      <c r="D223" s="10">
        <v>2020</v>
      </c>
      <c r="E223" s="13">
        <f t="shared" si="29"/>
        <v>311.03999999999996</v>
      </c>
      <c r="F223" s="13">
        <f>F222*1.2</f>
        <v>311.03999999999996</v>
      </c>
      <c r="G223" s="13"/>
      <c r="H223" s="13"/>
      <c r="I223" s="13"/>
      <c r="J223" s="10">
        <v>100</v>
      </c>
      <c r="K223" s="17"/>
      <c r="L223" s="86"/>
    </row>
    <row r="224" spans="1:12" ht="56.25" customHeight="1">
      <c r="A224" s="87" t="s">
        <v>12</v>
      </c>
      <c r="B224" s="85" t="s">
        <v>11</v>
      </c>
      <c r="C224" s="86"/>
      <c r="D224" s="10" t="s">
        <v>7</v>
      </c>
      <c r="E224" s="12">
        <f aca="true" t="shared" si="31" ref="E224:E231">SUM(F224:I224)</f>
        <v>0</v>
      </c>
      <c r="F224" s="12">
        <f>SUM(F225:F231)</f>
        <v>0</v>
      </c>
      <c r="G224" s="12">
        <f>SUM(G225:G231)</f>
        <v>0</v>
      </c>
      <c r="H224" s="12">
        <f>SUM(H225:H231)</f>
        <v>0</v>
      </c>
      <c r="I224" s="12">
        <f>SUM(I225:I231)</f>
        <v>0</v>
      </c>
      <c r="J224" s="10" t="s">
        <v>10</v>
      </c>
      <c r="K224" s="10"/>
      <c r="L224" s="89" t="s">
        <v>5</v>
      </c>
    </row>
    <row r="225" spans="1:12" ht="15">
      <c r="A225" s="88"/>
      <c r="B225" s="85"/>
      <c r="C225" s="86"/>
      <c r="D225" s="10">
        <v>2014</v>
      </c>
      <c r="E225" s="13">
        <f t="shared" si="31"/>
        <v>0</v>
      </c>
      <c r="F225" s="13"/>
      <c r="G225" s="13"/>
      <c r="H225" s="13"/>
      <c r="I225" s="13"/>
      <c r="J225" s="10"/>
      <c r="K225" s="17"/>
      <c r="L225" s="90"/>
    </row>
    <row r="226" spans="1:12" ht="15">
      <c r="A226" s="88"/>
      <c r="B226" s="85"/>
      <c r="C226" s="86"/>
      <c r="D226" s="10">
        <v>2015</v>
      </c>
      <c r="E226" s="13">
        <f t="shared" si="31"/>
        <v>0</v>
      </c>
      <c r="F226" s="13"/>
      <c r="G226" s="13"/>
      <c r="H226" s="13"/>
      <c r="I226" s="13"/>
      <c r="J226" s="10"/>
      <c r="K226" s="17"/>
      <c r="L226" s="90"/>
    </row>
    <row r="227" spans="1:12" ht="15">
      <c r="A227" s="88"/>
      <c r="B227" s="85"/>
      <c r="C227" s="86"/>
      <c r="D227" s="10">
        <v>2016</v>
      </c>
      <c r="E227" s="13">
        <f t="shared" si="31"/>
        <v>0</v>
      </c>
      <c r="F227" s="13"/>
      <c r="G227" s="13"/>
      <c r="H227" s="13"/>
      <c r="I227" s="13"/>
      <c r="J227" s="10"/>
      <c r="K227" s="17"/>
      <c r="L227" s="90"/>
    </row>
    <row r="228" spans="1:12" ht="15">
      <c r="A228" s="88"/>
      <c r="B228" s="85"/>
      <c r="C228" s="86"/>
      <c r="D228" s="10">
        <v>2017</v>
      </c>
      <c r="E228" s="13">
        <f t="shared" si="31"/>
        <v>0</v>
      </c>
      <c r="F228" s="13"/>
      <c r="G228" s="13"/>
      <c r="H228" s="13"/>
      <c r="I228" s="13"/>
      <c r="J228" s="10"/>
      <c r="K228" s="17"/>
      <c r="L228" s="90"/>
    </row>
    <row r="229" spans="1:12" ht="15">
      <c r="A229" s="88"/>
      <c r="B229" s="85"/>
      <c r="C229" s="86"/>
      <c r="D229" s="10">
        <v>2018</v>
      </c>
      <c r="E229" s="13">
        <f t="shared" si="31"/>
        <v>0</v>
      </c>
      <c r="F229" s="13"/>
      <c r="G229" s="13"/>
      <c r="H229" s="13"/>
      <c r="I229" s="13"/>
      <c r="J229" s="10"/>
      <c r="K229" s="17"/>
      <c r="L229" s="90"/>
    </row>
    <row r="230" spans="1:12" ht="15">
      <c r="A230" s="88"/>
      <c r="B230" s="85"/>
      <c r="C230" s="86"/>
      <c r="D230" s="10">
        <v>2019</v>
      </c>
      <c r="E230" s="13">
        <f t="shared" si="31"/>
        <v>0</v>
      </c>
      <c r="F230" s="13"/>
      <c r="G230" s="13"/>
      <c r="H230" s="13"/>
      <c r="I230" s="13"/>
      <c r="J230" s="10"/>
      <c r="K230" s="17"/>
      <c r="L230" s="90"/>
    </row>
    <row r="231" spans="1:12" ht="15">
      <c r="A231" s="88"/>
      <c r="B231" s="85"/>
      <c r="C231" s="86"/>
      <c r="D231" s="10">
        <v>2020</v>
      </c>
      <c r="E231" s="13">
        <f t="shared" si="31"/>
        <v>0</v>
      </c>
      <c r="F231" s="13"/>
      <c r="G231" s="13"/>
      <c r="H231" s="13"/>
      <c r="I231" s="13"/>
      <c r="J231" s="10"/>
      <c r="K231" s="17"/>
      <c r="L231" s="90"/>
    </row>
    <row r="232" spans="1:12" ht="45">
      <c r="A232" s="87" t="s">
        <v>9</v>
      </c>
      <c r="B232" s="85" t="s">
        <v>8</v>
      </c>
      <c r="C232" s="86"/>
      <c r="D232" s="10" t="s">
        <v>7</v>
      </c>
      <c r="E232" s="12">
        <f aca="true" t="shared" si="32" ref="E232:E239">SUM(F232:I232)</f>
        <v>0</v>
      </c>
      <c r="F232" s="12">
        <f>SUM(F233:F239)</f>
        <v>0</v>
      </c>
      <c r="G232" s="12">
        <f>SUM(G233:G239)</f>
        <v>0</v>
      </c>
      <c r="H232" s="12">
        <f>SUM(H233:H239)</f>
        <v>0</v>
      </c>
      <c r="I232" s="12">
        <f>SUM(I233:I239)</f>
        <v>0</v>
      </c>
      <c r="J232" s="17" t="s">
        <v>6</v>
      </c>
      <c r="K232" s="10"/>
      <c r="L232" s="89" t="s">
        <v>5</v>
      </c>
    </row>
    <row r="233" spans="1:12" ht="15">
      <c r="A233" s="88"/>
      <c r="B233" s="85"/>
      <c r="C233" s="86"/>
      <c r="D233" s="10">
        <v>2014</v>
      </c>
      <c r="E233" s="13">
        <f t="shared" si="32"/>
        <v>0</v>
      </c>
      <c r="F233" s="13"/>
      <c r="G233" s="13"/>
      <c r="H233" s="13"/>
      <c r="I233" s="13"/>
      <c r="J233" s="10">
        <v>5</v>
      </c>
      <c r="K233" s="17"/>
      <c r="L233" s="90"/>
    </row>
    <row r="234" spans="1:12" ht="15">
      <c r="A234" s="88"/>
      <c r="B234" s="85"/>
      <c r="C234" s="86"/>
      <c r="D234" s="10">
        <v>2015</v>
      </c>
      <c r="E234" s="13">
        <f t="shared" si="32"/>
        <v>0</v>
      </c>
      <c r="F234" s="13"/>
      <c r="G234" s="13"/>
      <c r="H234" s="13"/>
      <c r="I234" s="13"/>
      <c r="J234" s="10">
        <v>5</v>
      </c>
      <c r="K234" s="17"/>
      <c r="L234" s="90"/>
    </row>
    <row r="235" spans="1:12" ht="15">
      <c r="A235" s="88"/>
      <c r="B235" s="85"/>
      <c r="C235" s="86"/>
      <c r="D235" s="10">
        <v>2016</v>
      </c>
      <c r="E235" s="13">
        <f t="shared" si="32"/>
        <v>0</v>
      </c>
      <c r="F235" s="13"/>
      <c r="G235" s="13"/>
      <c r="H235" s="13"/>
      <c r="I235" s="13"/>
      <c r="J235" s="10">
        <v>5</v>
      </c>
      <c r="K235" s="17"/>
      <c r="L235" s="90"/>
    </row>
    <row r="236" spans="1:12" ht="15">
      <c r="A236" s="88"/>
      <c r="B236" s="85"/>
      <c r="C236" s="86"/>
      <c r="D236" s="10">
        <v>2017</v>
      </c>
      <c r="E236" s="13">
        <f t="shared" si="32"/>
        <v>0</v>
      </c>
      <c r="F236" s="13"/>
      <c r="G236" s="13"/>
      <c r="H236" s="13"/>
      <c r="I236" s="13"/>
      <c r="J236" s="10">
        <v>5</v>
      </c>
      <c r="K236" s="17"/>
      <c r="L236" s="90"/>
    </row>
    <row r="237" spans="1:12" ht="15">
      <c r="A237" s="88"/>
      <c r="B237" s="85"/>
      <c r="C237" s="86"/>
      <c r="D237" s="10">
        <v>2018</v>
      </c>
      <c r="E237" s="13">
        <f t="shared" si="32"/>
        <v>0</v>
      </c>
      <c r="F237" s="13"/>
      <c r="G237" s="13"/>
      <c r="H237" s="13"/>
      <c r="I237" s="13"/>
      <c r="J237" s="10">
        <v>5</v>
      </c>
      <c r="K237" s="17"/>
      <c r="L237" s="90"/>
    </row>
    <row r="238" spans="1:12" ht="15">
      <c r="A238" s="88"/>
      <c r="B238" s="85"/>
      <c r="C238" s="86"/>
      <c r="D238" s="10">
        <v>2019</v>
      </c>
      <c r="E238" s="13">
        <f t="shared" si="32"/>
        <v>0</v>
      </c>
      <c r="F238" s="13"/>
      <c r="G238" s="13"/>
      <c r="H238" s="13"/>
      <c r="I238" s="13"/>
      <c r="J238" s="10">
        <v>5</v>
      </c>
      <c r="K238" s="17"/>
      <c r="L238" s="90"/>
    </row>
    <row r="239" spans="1:12" ht="15">
      <c r="A239" s="88"/>
      <c r="B239" s="85"/>
      <c r="C239" s="86"/>
      <c r="D239" s="10">
        <v>2020</v>
      </c>
      <c r="E239" s="13">
        <f t="shared" si="32"/>
        <v>0</v>
      </c>
      <c r="F239" s="13"/>
      <c r="G239" s="13"/>
      <c r="H239" s="13"/>
      <c r="I239" s="13"/>
      <c r="J239" s="10">
        <v>5</v>
      </c>
      <c r="K239" s="17"/>
      <c r="L239" s="90"/>
    </row>
    <row r="240" ht="13.5" customHeight="1"/>
  </sheetData>
  <sheetProtection/>
  <mergeCells count="122">
    <mergeCell ref="A4:L4"/>
    <mergeCell ref="A6:A7"/>
    <mergeCell ref="B6:B7"/>
    <mergeCell ref="C6:C7"/>
    <mergeCell ref="D6:I6"/>
    <mergeCell ref="J6:K6"/>
    <mergeCell ref="L6:L7"/>
    <mergeCell ref="A16:A23"/>
    <mergeCell ref="B16:B23"/>
    <mergeCell ref="C16:C23"/>
    <mergeCell ref="J16:K23"/>
    <mergeCell ref="L16:L23"/>
    <mergeCell ref="A8:A15"/>
    <mergeCell ref="B8:B15"/>
    <mergeCell ref="C8:C15"/>
    <mergeCell ref="J8:K15"/>
    <mergeCell ref="L8:L15"/>
    <mergeCell ref="A24:A31"/>
    <mergeCell ref="B24:B31"/>
    <mergeCell ref="C24:C31"/>
    <mergeCell ref="J24:K31"/>
    <mergeCell ref="L24:L31"/>
    <mergeCell ref="A64:A71"/>
    <mergeCell ref="B64:B71"/>
    <mergeCell ref="L64:L71"/>
    <mergeCell ref="A40:A47"/>
    <mergeCell ref="B40:B47"/>
    <mergeCell ref="L40:L47"/>
    <mergeCell ref="A48:A55"/>
    <mergeCell ref="B48:B55"/>
    <mergeCell ref="L48:L55"/>
    <mergeCell ref="A32:A39"/>
    <mergeCell ref="B32:B39"/>
    <mergeCell ref="C32:C39"/>
    <mergeCell ref="L32:L39"/>
    <mergeCell ref="A56:A63"/>
    <mergeCell ref="B56:B63"/>
    <mergeCell ref="L56:L63"/>
    <mergeCell ref="A72:A79"/>
    <mergeCell ref="B72:B79"/>
    <mergeCell ref="L72:L79"/>
    <mergeCell ref="A80:A87"/>
    <mergeCell ref="B80:B87"/>
    <mergeCell ref="L80:L87"/>
    <mergeCell ref="A88:A95"/>
    <mergeCell ref="B88:B95"/>
    <mergeCell ref="L88:L95"/>
    <mergeCell ref="A96:A103"/>
    <mergeCell ref="B96:B103"/>
    <mergeCell ref="L96:L103"/>
    <mergeCell ref="A104:A111"/>
    <mergeCell ref="B104:B111"/>
    <mergeCell ref="C104:C111"/>
    <mergeCell ref="J104:K111"/>
    <mergeCell ref="L104:L111"/>
    <mergeCell ref="A112:A119"/>
    <mergeCell ref="B112:B119"/>
    <mergeCell ref="C112:C119"/>
    <mergeCell ref="L112:L119"/>
    <mergeCell ref="A120:A127"/>
    <mergeCell ref="B120:B127"/>
    <mergeCell ref="C120:C127"/>
    <mergeCell ref="L120:L127"/>
    <mergeCell ref="A128:A135"/>
    <mergeCell ref="B128:B135"/>
    <mergeCell ref="C128:C135"/>
    <mergeCell ref="L128:L135"/>
    <mergeCell ref="A136:A143"/>
    <mergeCell ref="B136:B143"/>
    <mergeCell ref="C136:C143"/>
    <mergeCell ref="J136:K143"/>
    <mergeCell ref="L136:L143"/>
    <mergeCell ref="L168:L175"/>
    <mergeCell ref="A144:A151"/>
    <mergeCell ref="B144:B151"/>
    <mergeCell ref="C144:C151"/>
    <mergeCell ref="J144:K151"/>
    <mergeCell ref="L144:L151"/>
    <mergeCell ref="A152:A159"/>
    <mergeCell ref="B152:B159"/>
    <mergeCell ref="C152:C159"/>
    <mergeCell ref="L152:L159"/>
    <mergeCell ref="B184:B191"/>
    <mergeCell ref="C184:C191"/>
    <mergeCell ref="L184:L191"/>
    <mergeCell ref="A160:A167"/>
    <mergeCell ref="B160:B167"/>
    <mergeCell ref="C160:C167"/>
    <mergeCell ref="L160:L167"/>
    <mergeCell ref="A168:A175"/>
    <mergeCell ref="B168:B175"/>
    <mergeCell ref="C168:C175"/>
    <mergeCell ref="C224:C231"/>
    <mergeCell ref="L224:L231"/>
    <mergeCell ref="A200:A207"/>
    <mergeCell ref="B200:B207"/>
    <mergeCell ref="C200:C207"/>
    <mergeCell ref="A176:A183"/>
    <mergeCell ref="B176:B183"/>
    <mergeCell ref="C176:C183"/>
    <mergeCell ref="L176:L183"/>
    <mergeCell ref="A184:A191"/>
    <mergeCell ref="A232:A239"/>
    <mergeCell ref="B232:B239"/>
    <mergeCell ref="C232:C239"/>
    <mergeCell ref="L232:L239"/>
    <mergeCell ref="A216:A223"/>
    <mergeCell ref="A192:A199"/>
    <mergeCell ref="B192:B199"/>
    <mergeCell ref="C192:C199"/>
    <mergeCell ref="J192:K199"/>
    <mergeCell ref="L192:L199"/>
    <mergeCell ref="B216:B223"/>
    <mergeCell ref="C216:C223"/>
    <mergeCell ref="L216:L223"/>
    <mergeCell ref="A224:A231"/>
    <mergeCell ref="B224:B231"/>
    <mergeCell ref="L200:L207"/>
    <mergeCell ref="A208:A215"/>
    <mergeCell ref="B208:B215"/>
    <mergeCell ref="C208:C215"/>
    <mergeCell ref="L208:L215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2.00390625" defaultRowHeight="15"/>
  <cols>
    <col min="1" max="1" width="57.8515625" style="0" customWidth="1"/>
    <col min="2" max="2" width="18.57421875" style="0" customWidth="1"/>
  </cols>
  <sheetData>
    <row r="2" spans="1:5" ht="15">
      <c r="A2" t="s">
        <v>108</v>
      </c>
      <c r="B2" t="s">
        <v>109</v>
      </c>
      <c r="C2" t="s">
        <v>110</v>
      </c>
      <c r="D2">
        <v>80</v>
      </c>
      <c r="E2">
        <v>80</v>
      </c>
    </row>
    <row r="3" spans="1:5" ht="15">
      <c r="A3" t="s">
        <v>111</v>
      </c>
      <c r="B3" t="s">
        <v>112</v>
      </c>
      <c r="C3" t="s">
        <v>113</v>
      </c>
      <c r="D3">
        <v>120</v>
      </c>
      <c r="E3">
        <v>120</v>
      </c>
    </row>
    <row r="4" spans="1:5" ht="15">
      <c r="A4" t="s">
        <v>114</v>
      </c>
      <c r="B4" t="s">
        <v>115</v>
      </c>
      <c r="C4" t="s">
        <v>116</v>
      </c>
      <c r="D4">
        <v>25</v>
      </c>
      <c r="E4">
        <v>25</v>
      </c>
    </row>
    <row r="5" spans="1:5" ht="15">
      <c r="A5" t="s">
        <v>114</v>
      </c>
      <c r="B5" t="s">
        <v>117</v>
      </c>
      <c r="C5" t="s">
        <v>118</v>
      </c>
      <c r="D5">
        <v>20</v>
      </c>
      <c r="E5">
        <v>20</v>
      </c>
    </row>
    <row r="6" spans="1:5" ht="15">
      <c r="A6" t="s">
        <v>119</v>
      </c>
      <c r="B6" t="s">
        <v>120</v>
      </c>
      <c r="C6" t="s">
        <v>121</v>
      </c>
      <c r="D6">
        <v>600</v>
      </c>
      <c r="E6">
        <v>600</v>
      </c>
    </row>
    <row r="7" spans="1:5" ht="15">
      <c r="A7" t="s">
        <v>119</v>
      </c>
      <c r="B7" t="s">
        <v>117</v>
      </c>
      <c r="C7" t="s">
        <v>116</v>
      </c>
      <c r="D7">
        <v>371.5</v>
      </c>
      <c r="E7">
        <v>371.5</v>
      </c>
    </row>
    <row r="8" spans="1:5" ht="15">
      <c r="A8" t="s">
        <v>119</v>
      </c>
      <c r="B8" t="s">
        <v>122</v>
      </c>
      <c r="C8" t="s">
        <v>121</v>
      </c>
      <c r="D8">
        <v>371.5</v>
      </c>
      <c r="E8">
        <v>371.5</v>
      </c>
    </row>
    <row r="9" spans="1:5" ht="15">
      <c r="A9" t="s">
        <v>123</v>
      </c>
      <c r="B9" t="s">
        <v>120</v>
      </c>
      <c r="C9" t="s">
        <v>121</v>
      </c>
      <c r="D9">
        <v>100</v>
      </c>
      <c r="E9">
        <v>100</v>
      </c>
    </row>
    <row r="10" spans="1:5" ht="15">
      <c r="A10" t="s">
        <v>124</v>
      </c>
      <c r="B10" t="s">
        <v>125</v>
      </c>
      <c r="C10" t="s">
        <v>118</v>
      </c>
      <c r="D10">
        <v>125</v>
      </c>
      <c r="E10">
        <v>125</v>
      </c>
    </row>
    <row r="11" spans="1:5" ht="15">
      <c r="A11" t="s">
        <v>126</v>
      </c>
      <c r="B11" t="s">
        <v>127</v>
      </c>
      <c r="C11" t="s">
        <v>128</v>
      </c>
      <c r="D11">
        <v>1200</v>
      </c>
      <c r="E11">
        <v>1200</v>
      </c>
    </row>
    <row r="12" spans="1:5" ht="15">
      <c r="A12" t="s">
        <v>126</v>
      </c>
      <c r="B12" t="s">
        <v>115</v>
      </c>
      <c r="C12" t="s">
        <v>128</v>
      </c>
      <c r="D12">
        <v>11850</v>
      </c>
      <c r="E12">
        <v>11850</v>
      </c>
    </row>
    <row r="13" spans="1:5" ht="15">
      <c r="A13" t="s">
        <v>129</v>
      </c>
      <c r="B13" t="s">
        <v>127</v>
      </c>
      <c r="C13" t="s">
        <v>130</v>
      </c>
      <c r="D13">
        <v>943</v>
      </c>
      <c r="E13">
        <v>943</v>
      </c>
    </row>
    <row r="14" spans="1:5" ht="15">
      <c r="A14" t="s">
        <v>129</v>
      </c>
      <c r="B14" t="s">
        <v>131</v>
      </c>
      <c r="C14" t="s">
        <v>121</v>
      </c>
      <c r="D14">
        <v>300</v>
      </c>
      <c r="E14">
        <v>300</v>
      </c>
    </row>
    <row r="15" spans="1:5" ht="15">
      <c r="A15" t="s">
        <v>129</v>
      </c>
      <c r="B15" t="s">
        <v>132</v>
      </c>
      <c r="C15" t="s">
        <v>121</v>
      </c>
      <c r="D15">
        <v>300</v>
      </c>
      <c r="E15">
        <v>300</v>
      </c>
    </row>
    <row r="16" spans="1:5" ht="15">
      <c r="A16" t="s">
        <v>129</v>
      </c>
      <c r="B16" t="s">
        <v>133</v>
      </c>
      <c r="C16" t="s">
        <v>121</v>
      </c>
      <c r="D16">
        <v>300</v>
      </c>
      <c r="E16">
        <v>300</v>
      </c>
    </row>
    <row r="17" spans="1:5" ht="15">
      <c r="A17" t="s">
        <v>129</v>
      </c>
      <c r="B17" t="s">
        <v>134</v>
      </c>
      <c r="C17" t="s">
        <v>121</v>
      </c>
      <c r="D17">
        <v>300</v>
      </c>
      <c r="E17">
        <v>300</v>
      </c>
    </row>
    <row r="18" spans="1:5" ht="15">
      <c r="A18" t="s">
        <v>129</v>
      </c>
      <c r="B18" t="s">
        <v>135</v>
      </c>
      <c r="C18" t="s">
        <v>121</v>
      </c>
      <c r="D18">
        <v>300</v>
      </c>
      <c r="E18">
        <v>300</v>
      </c>
    </row>
    <row r="19" spans="1:5" ht="15">
      <c r="A19" t="s">
        <v>129</v>
      </c>
      <c r="B19" t="s">
        <v>136</v>
      </c>
      <c r="C19" t="s">
        <v>121</v>
      </c>
      <c r="D19">
        <v>300</v>
      </c>
      <c r="E19">
        <v>300</v>
      </c>
    </row>
  </sheetData>
  <sheetProtection/>
  <autoFilter ref="A1:E19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"/>
  <sheetViews>
    <sheetView showGridLines="0" view="pageBreakPreview" zoomScale="80" zoomScaleSheetLayoutView="80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B7" sqref="B7"/>
    </sheetView>
  </sheetViews>
  <sheetFormatPr defaultColWidth="9.140625" defaultRowHeight="15"/>
  <cols>
    <col min="1" max="1" width="12.421875" style="20" customWidth="1"/>
    <col min="2" max="2" width="15.8515625" style="20" customWidth="1"/>
    <col min="3" max="3" width="53.00390625" style="20" customWidth="1"/>
    <col min="4" max="4" width="22.7109375" style="21" customWidth="1"/>
    <col min="5" max="5" width="16.421875" style="21" customWidth="1"/>
    <col min="6" max="6" width="15.28125" style="20" customWidth="1"/>
    <col min="7" max="7" width="16.140625" style="22" customWidth="1"/>
    <col min="8" max="8" width="12.7109375" style="22" customWidth="1"/>
    <col min="9" max="9" width="12.8515625" style="22" bestFit="1" customWidth="1"/>
    <col min="10" max="10" width="13.140625" style="22" bestFit="1" customWidth="1"/>
    <col min="11" max="11" width="10.8515625" style="22" customWidth="1"/>
    <col min="12" max="12" width="11.7109375" style="22" bestFit="1" customWidth="1"/>
    <col min="13" max="13" width="18.57421875" style="22" customWidth="1"/>
    <col min="14" max="15" width="10.8515625" style="22" customWidth="1"/>
    <col min="16" max="16" width="14.421875" style="22" customWidth="1"/>
    <col min="17" max="17" width="13.7109375" style="22" customWidth="1"/>
    <col min="18" max="18" width="14.421875" style="22" customWidth="1"/>
    <col min="19" max="19" width="10.8515625" style="22" customWidth="1"/>
    <col min="20" max="20" width="18.421875" style="20" customWidth="1"/>
    <col min="21" max="16384" width="9.140625" style="20" customWidth="1"/>
  </cols>
  <sheetData>
    <row r="1" spans="14:19" ht="63.75" customHeight="1">
      <c r="N1" s="23"/>
      <c r="Q1" s="105" t="s">
        <v>269</v>
      </c>
      <c r="R1" s="105"/>
      <c r="S1" s="105"/>
    </row>
    <row r="2" spans="17:18" ht="15">
      <c r="Q2" s="24"/>
      <c r="R2" s="20"/>
    </row>
    <row r="3" spans="1:19" ht="15" customHeight="1">
      <c r="A3" s="116" t="s">
        <v>305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20.25" customHeight="1">
      <c r="A4" s="116" t="s">
        <v>191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ht="23.25" customHeight="1">
      <c r="A5" s="116" t="s">
        <v>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1:19" ht="78.75" customHeight="1">
      <c r="A6" s="25"/>
      <c r="B6" s="25"/>
      <c r="C6" s="25"/>
      <c r="D6" s="26"/>
      <c r="E6" s="26"/>
      <c r="F6" s="25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20" s="28" customFormat="1" ht="48.75" customHeight="1">
      <c r="A7" s="35" t="s">
        <v>2</v>
      </c>
      <c r="B7" s="35" t="s">
        <v>247</v>
      </c>
      <c r="C7" s="35" t="s">
        <v>0</v>
      </c>
      <c r="D7" s="35" t="s">
        <v>245</v>
      </c>
      <c r="E7" s="35" t="s">
        <v>184</v>
      </c>
      <c r="F7" s="35" t="s">
        <v>229</v>
      </c>
      <c r="G7" s="36" t="s">
        <v>246</v>
      </c>
      <c r="H7" s="36">
        <v>212</v>
      </c>
      <c r="I7" s="36">
        <v>221</v>
      </c>
      <c r="J7" s="36">
        <v>222</v>
      </c>
      <c r="K7" s="36">
        <v>225</v>
      </c>
      <c r="L7" s="36">
        <v>226</v>
      </c>
      <c r="M7" s="36">
        <v>241</v>
      </c>
      <c r="N7" s="36">
        <v>242</v>
      </c>
      <c r="O7" s="36">
        <v>251</v>
      </c>
      <c r="P7" s="36">
        <v>262</v>
      </c>
      <c r="Q7" s="36">
        <v>290</v>
      </c>
      <c r="R7" s="36">
        <v>310</v>
      </c>
      <c r="S7" s="36">
        <v>340</v>
      </c>
      <c r="T7" s="37"/>
    </row>
    <row r="8" spans="1:20" s="28" customFormat="1" ht="15.75">
      <c r="A8" s="35"/>
      <c r="B8" s="35"/>
      <c r="C8" s="35"/>
      <c r="D8" s="35"/>
      <c r="E8" s="35"/>
      <c r="F8" s="35"/>
      <c r="G8" s="38">
        <f aca="true" t="shared" si="0" ref="G8:S8">SUM(G9,G52,G59,G69)</f>
        <v>1251101.1101000002</v>
      </c>
      <c r="H8" s="38">
        <f t="shared" si="0"/>
        <v>9550.8</v>
      </c>
      <c r="I8" s="38">
        <f t="shared" si="0"/>
        <v>0</v>
      </c>
      <c r="J8" s="38">
        <f t="shared" si="0"/>
        <v>446.9901</v>
      </c>
      <c r="K8" s="38">
        <f t="shared" si="0"/>
        <v>0</v>
      </c>
      <c r="L8" s="38">
        <f t="shared" si="0"/>
        <v>359.1318</v>
      </c>
      <c r="M8" s="38">
        <f t="shared" si="0"/>
        <v>1169942.8</v>
      </c>
      <c r="N8" s="38">
        <f t="shared" si="0"/>
        <v>0</v>
      </c>
      <c r="O8" s="38">
        <f t="shared" si="0"/>
        <v>0</v>
      </c>
      <c r="P8" s="38">
        <f t="shared" si="0"/>
        <v>4987.2882</v>
      </c>
      <c r="Q8" s="38">
        <f t="shared" si="0"/>
        <v>2818</v>
      </c>
      <c r="R8" s="38">
        <f t="shared" si="0"/>
        <v>7213</v>
      </c>
      <c r="S8" s="38">
        <f t="shared" si="0"/>
        <v>15</v>
      </c>
      <c r="T8" s="37"/>
    </row>
    <row r="9" spans="1:20" ht="64.5" customHeight="1">
      <c r="A9" s="35" t="s">
        <v>86</v>
      </c>
      <c r="B9" s="39"/>
      <c r="C9" s="106" t="s">
        <v>203</v>
      </c>
      <c r="D9" s="107"/>
      <c r="E9" s="107"/>
      <c r="F9" s="117"/>
      <c r="G9" s="38">
        <f aca="true" t="shared" si="1" ref="G9:S9">SUM(G11,G12,G13,G14,G15,G17,G25)</f>
        <v>1184692.9621000001</v>
      </c>
      <c r="H9" s="38">
        <f t="shared" si="1"/>
        <v>9550.8</v>
      </c>
      <c r="I9" s="38">
        <f t="shared" si="1"/>
        <v>0</v>
      </c>
      <c r="J9" s="38">
        <f t="shared" si="1"/>
        <v>212.07389999999998</v>
      </c>
      <c r="K9" s="38">
        <f t="shared" si="1"/>
        <v>0</v>
      </c>
      <c r="L9" s="38">
        <f t="shared" si="1"/>
        <v>0</v>
      </c>
      <c r="M9" s="38">
        <f t="shared" si="1"/>
        <v>1169942.8</v>
      </c>
      <c r="N9" s="38">
        <f t="shared" si="1"/>
        <v>0</v>
      </c>
      <c r="O9" s="38">
        <f t="shared" si="1"/>
        <v>0</v>
      </c>
      <c r="P9" s="38">
        <f t="shared" si="1"/>
        <v>4987.2882</v>
      </c>
      <c r="Q9" s="38">
        <f t="shared" si="1"/>
        <v>0</v>
      </c>
      <c r="R9" s="38">
        <f t="shared" si="1"/>
        <v>0</v>
      </c>
      <c r="S9" s="38">
        <f t="shared" si="1"/>
        <v>0</v>
      </c>
      <c r="T9" s="42"/>
    </row>
    <row r="10" spans="1:20" ht="18.75">
      <c r="A10" s="43" t="s">
        <v>223</v>
      </c>
      <c r="B10" s="40"/>
      <c r="C10" s="44" t="s">
        <v>224</v>
      </c>
      <c r="D10" s="41"/>
      <c r="E10" s="45"/>
      <c r="F10" s="35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42"/>
    </row>
    <row r="11" spans="1:20" ht="94.5">
      <c r="A11" s="35" t="s">
        <v>83</v>
      </c>
      <c r="B11" s="35" t="s">
        <v>248</v>
      </c>
      <c r="C11" s="65" t="s">
        <v>286</v>
      </c>
      <c r="D11" s="35" t="s">
        <v>222</v>
      </c>
      <c r="E11" s="35"/>
      <c r="F11" s="35" t="s">
        <v>107</v>
      </c>
      <c r="G11" s="38">
        <v>418257.35000000003</v>
      </c>
      <c r="H11" s="38"/>
      <c r="I11" s="38"/>
      <c r="J11" s="38"/>
      <c r="K11" s="38"/>
      <c r="L11" s="38"/>
      <c r="M11" s="38">
        <v>418257.35000000003</v>
      </c>
      <c r="N11" s="38"/>
      <c r="O11" s="38"/>
      <c r="P11" s="38"/>
      <c r="Q11" s="38"/>
      <c r="R11" s="38"/>
      <c r="S11" s="38"/>
      <c r="T11" s="42"/>
    </row>
    <row r="12" spans="1:20" ht="94.5">
      <c r="A12" s="35" t="s">
        <v>80</v>
      </c>
      <c r="B12" s="35" t="s">
        <v>249</v>
      </c>
      <c r="C12" s="65" t="s">
        <v>287</v>
      </c>
      <c r="D12" s="35" t="s">
        <v>222</v>
      </c>
      <c r="E12" s="35"/>
      <c r="F12" s="35" t="s">
        <v>107</v>
      </c>
      <c r="G12" s="38">
        <v>57086.7</v>
      </c>
      <c r="H12" s="38"/>
      <c r="I12" s="38"/>
      <c r="J12" s="38"/>
      <c r="K12" s="38"/>
      <c r="L12" s="38"/>
      <c r="M12" s="38">
        <v>57086.7</v>
      </c>
      <c r="N12" s="38"/>
      <c r="O12" s="38"/>
      <c r="P12" s="38"/>
      <c r="Q12" s="38"/>
      <c r="R12" s="38"/>
      <c r="S12" s="38"/>
      <c r="T12" s="42"/>
    </row>
    <row r="13" spans="1:20" ht="94.5">
      <c r="A13" s="35" t="s">
        <v>77</v>
      </c>
      <c r="B13" s="35">
        <v>80410204002</v>
      </c>
      <c r="C13" s="65" t="s">
        <v>288</v>
      </c>
      <c r="D13" s="35" t="s">
        <v>222</v>
      </c>
      <c r="E13" s="35"/>
      <c r="F13" s="35" t="s">
        <v>107</v>
      </c>
      <c r="G13" s="38">
        <v>568880.5599999999</v>
      </c>
      <c r="H13" s="38"/>
      <c r="I13" s="38"/>
      <c r="J13" s="38"/>
      <c r="K13" s="38"/>
      <c r="L13" s="38"/>
      <c r="M13" s="38">
        <v>568880.5599999999</v>
      </c>
      <c r="N13" s="38"/>
      <c r="O13" s="38"/>
      <c r="P13" s="38"/>
      <c r="Q13" s="38"/>
      <c r="R13" s="38"/>
      <c r="S13" s="38"/>
      <c r="T13" s="42"/>
    </row>
    <row r="14" spans="1:20" ht="110.25">
      <c r="A14" s="35" t="s">
        <v>74</v>
      </c>
      <c r="B14" s="35" t="s">
        <v>250</v>
      </c>
      <c r="C14" s="65" t="s">
        <v>289</v>
      </c>
      <c r="D14" s="35" t="s">
        <v>222</v>
      </c>
      <c r="E14" s="35"/>
      <c r="F14" s="35" t="s">
        <v>107</v>
      </c>
      <c r="G14" s="38">
        <v>51874.869999999995</v>
      </c>
      <c r="H14" s="38"/>
      <c r="I14" s="38"/>
      <c r="J14" s="38"/>
      <c r="K14" s="38"/>
      <c r="L14" s="38"/>
      <c r="M14" s="38">
        <v>51874.869999999995</v>
      </c>
      <c r="N14" s="38"/>
      <c r="O14" s="38"/>
      <c r="P14" s="38"/>
      <c r="Q14" s="38"/>
      <c r="R14" s="38"/>
      <c r="S14" s="38"/>
      <c r="T14" s="42"/>
    </row>
    <row r="15" spans="1:20" ht="47.25">
      <c r="A15" s="35" t="s">
        <v>70</v>
      </c>
      <c r="B15" s="35" t="s">
        <v>251</v>
      </c>
      <c r="C15" s="65" t="s">
        <v>175</v>
      </c>
      <c r="D15" s="35" t="s">
        <v>222</v>
      </c>
      <c r="E15" s="35"/>
      <c r="F15" s="35" t="s">
        <v>107</v>
      </c>
      <c r="G15" s="38">
        <v>73843.31999999999</v>
      </c>
      <c r="H15" s="38"/>
      <c r="I15" s="38"/>
      <c r="J15" s="38"/>
      <c r="K15" s="38"/>
      <c r="L15" s="38"/>
      <c r="M15" s="38">
        <v>73843.31999999999</v>
      </c>
      <c r="N15" s="38"/>
      <c r="O15" s="38"/>
      <c r="P15" s="38"/>
      <c r="Q15" s="38"/>
      <c r="R15" s="38"/>
      <c r="S15" s="38"/>
      <c r="T15" s="42"/>
    </row>
    <row r="16" spans="1:20" ht="18.75">
      <c r="A16" s="43" t="s">
        <v>223</v>
      </c>
      <c r="B16" s="40"/>
      <c r="C16" s="44" t="s">
        <v>225</v>
      </c>
      <c r="D16" s="35"/>
      <c r="E16" s="35"/>
      <c r="F16" s="35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2"/>
    </row>
    <row r="17" spans="1:20" ht="78.75">
      <c r="A17" s="35" t="s">
        <v>67</v>
      </c>
      <c r="B17" s="35" t="s">
        <v>252</v>
      </c>
      <c r="C17" s="46" t="s">
        <v>176</v>
      </c>
      <c r="D17" s="35" t="s">
        <v>222</v>
      </c>
      <c r="E17" s="35"/>
      <c r="F17" s="35" t="s">
        <v>107</v>
      </c>
      <c r="G17" s="38">
        <f>SUM(H17:S17)</f>
        <v>9550.8</v>
      </c>
      <c r="H17" s="38">
        <f>SUM(H18:H23)</f>
        <v>9550.8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42"/>
    </row>
    <row r="18" spans="1:20" ht="78.75">
      <c r="A18" s="35"/>
      <c r="B18" s="35"/>
      <c r="C18" s="46" t="s">
        <v>176</v>
      </c>
      <c r="D18" s="35" t="s">
        <v>149</v>
      </c>
      <c r="E18" s="35"/>
      <c r="F18" s="35"/>
      <c r="G18" s="38">
        <f aca="true" t="shared" si="2" ref="G18:G23">SUM(H18:S18)</f>
        <v>450</v>
      </c>
      <c r="H18" s="38">
        <v>450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2"/>
    </row>
    <row r="19" spans="1:20" ht="78.75">
      <c r="A19" s="35"/>
      <c r="B19" s="35"/>
      <c r="C19" s="46" t="s">
        <v>176</v>
      </c>
      <c r="D19" s="35" t="s">
        <v>158</v>
      </c>
      <c r="E19" s="35"/>
      <c r="F19" s="35"/>
      <c r="G19" s="38">
        <f t="shared" si="2"/>
        <v>1500</v>
      </c>
      <c r="H19" s="38">
        <v>1500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2"/>
    </row>
    <row r="20" spans="1:20" ht="78.75">
      <c r="A20" s="35"/>
      <c r="B20" s="35"/>
      <c r="C20" s="46" t="s">
        <v>176</v>
      </c>
      <c r="D20" s="35" t="s">
        <v>154</v>
      </c>
      <c r="E20" s="35"/>
      <c r="F20" s="35"/>
      <c r="G20" s="38">
        <f t="shared" si="2"/>
        <v>3600</v>
      </c>
      <c r="H20" s="38">
        <v>3600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2"/>
    </row>
    <row r="21" spans="1:20" ht="78.75">
      <c r="A21" s="35"/>
      <c r="B21" s="35"/>
      <c r="C21" s="46" t="s">
        <v>176</v>
      </c>
      <c r="D21" s="35" t="s">
        <v>155</v>
      </c>
      <c r="E21" s="35"/>
      <c r="F21" s="35"/>
      <c r="G21" s="38">
        <f t="shared" si="2"/>
        <v>3100</v>
      </c>
      <c r="H21" s="38">
        <v>3100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2"/>
    </row>
    <row r="22" spans="1:20" ht="78.75">
      <c r="A22" s="35"/>
      <c r="B22" s="35"/>
      <c r="C22" s="46" t="s">
        <v>176</v>
      </c>
      <c r="D22" s="35" t="s">
        <v>150</v>
      </c>
      <c r="E22" s="35"/>
      <c r="F22" s="35"/>
      <c r="G22" s="38">
        <f t="shared" si="2"/>
        <v>200</v>
      </c>
      <c r="H22" s="38">
        <v>200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2"/>
    </row>
    <row r="23" spans="1:20" s="30" customFormat="1" ht="16.5" customHeight="1">
      <c r="A23" s="35"/>
      <c r="B23" s="39"/>
      <c r="C23" s="39" t="s">
        <v>253</v>
      </c>
      <c r="D23" s="35"/>
      <c r="E23" s="35"/>
      <c r="F23" s="35"/>
      <c r="G23" s="38">
        <f t="shared" si="2"/>
        <v>700.8</v>
      </c>
      <c r="H23" s="38">
        <f>1222-521.2</f>
        <v>700.8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2"/>
    </row>
    <row r="24" spans="1:20" ht="18.75">
      <c r="A24" s="43" t="s">
        <v>223</v>
      </c>
      <c r="B24" s="40"/>
      <c r="C24" s="44" t="s">
        <v>226</v>
      </c>
      <c r="D24" s="35"/>
      <c r="E24" s="35"/>
      <c r="F24" s="35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2"/>
    </row>
    <row r="25" spans="1:20" ht="94.5">
      <c r="A25" s="35" t="s">
        <v>64</v>
      </c>
      <c r="B25" s="39" t="s">
        <v>254</v>
      </c>
      <c r="C25" s="47" t="s">
        <v>282</v>
      </c>
      <c r="D25" s="35"/>
      <c r="E25" s="35"/>
      <c r="F25" s="48"/>
      <c r="G25" s="38">
        <f aca="true" t="shared" si="3" ref="G25:L25">SUM(G26:G51)</f>
        <v>5199.3621</v>
      </c>
      <c r="H25" s="38">
        <f t="shared" si="3"/>
        <v>0</v>
      </c>
      <c r="I25" s="38">
        <f t="shared" si="3"/>
        <v>0</v>
      </c>
      <c r="J25" s="38">
        <f t="shared" si="3"/>
        <v>212.07389999999998</v>
      </c>
      <c r="K25" s="38">
        <f t="shared" si="3"/>
        <v>0</v>
      </c>
      <c r="L25" s="38">
        <f t="shared" si="3"/>
        <v>0</v>
      </c>
      <c r="M25" s="38"/>
      <c r="N25" s="38">
        <f aca="true" t="shared" si="4" ref="N25:S25">SUM(N26:N51)</f>
        <v>0</v>
      </c>
      <c r="O25" s="38">
        <f t="shared" si="4"/>
        <v>0</v>
      </c>
      <c r="P25" s="38">
        <f t="shared" si="4"/>
        <v>4987.2882</v>
      </c>
      <c r="Q25" s="38">
        <f t="shared" si="4"/>
        <v>0</v>
      </c>
      <c r="R25" s="38">
        <f t="shared" si="4"/>
        <v>0</v>
      </c>
      <c r="S25" s="38">
        <f t="shared" si="4"/>
        <v>0</v>
      </c>
      <c r="T25" s="42"/>
    </row>
    <row r="26" spans="1:20" ht="47.25">
      <c r="A26" s="109" t="s">
        <v>290</v>
      </c>
      <c r="B26" s="49"/>
      <c r="C26" s="111" t="s">
        <v>282</v>
      </c>
      <c r="D26" s="113" t="s">
        <v>172</v>
      </c>
      <c r="E26" s="35" t="s">
        <v>238</v>
      </c>
      <c r="F26" s="51" t="s">
        <v>143</v>
      </c>
      <c r="G26" s="66">
        <f>SUM(H26:S26)</f>
        <v>234.17659999999998</v>
      </c>
      <c r="H26" s="38"/>
      <c r="I26" s="38"/>
      <c r="J26" s="66">
        <v>10.2907</v>
      </c>
      <c r="K26" s="38"/>
      <c r="L26" s="38"/>
      <c r="M26" s="38"/>
      <c r="N26" s="38"/>
      <c r="O26" s="38"/>
      <c r="P26" s="66">
        <v>223.8859</v>
      </c>
      <c r="Q26" s="38"/>
      <c r="R26" s="38"/>
      <c r="S26" s="38"/>
      <c r="T26" s="42"/>
    </row>
    <row r="27" spans="1:20" ht="47.25">
      <c r="A27" s="110"/>
      <c r="B27" s="52"/>
      <c r="C27" s="112"/>
      <c r="D27" s="113"/>
      <c r="E27" s="35" t="s">
        <v>238</v>
      </c>
      <c r="F27" s="51" t="s">
        <v>144</v>
      </c>
      <c r="G27" s="66">
        <v>139.755</v>
      </c>
      <c r="H27" s="38"/>
      <c r="I27" s="38"/>
      <c r="J27" s="38"/>
      <c r="K27" s="38"/>
      <c r="L27" s="38"/>
      <c r="M27" s="38"/>
      <c r="N27" s="38"/>
      <c r="O27" s="38"/>
      <c r="P27" s="66">
        <v>139.755</v>
      </c>
      <c r="Q27" s="38"/>
      <c r="R27" s="38"/>
      <c r="S27" s="38"/>
      <c r="T27" s="42"/>
    </row>
    <row r="28" spans="1:20" ht="94.5">
      <c r="A28" s="49" t="s">
        <v>291</v>
      </c>
      <c r="B28" s="49"/>
      <c r="C28" s="50" t="s">
        <v>282</v>
      </c>
      <c r="D28" s="73" t="s">
        <v>145</v>
      </c>
      <c r="E28" s="35" t="s">
        <v>238</v>
      </c>
      <c r="F28" s="51" t="s">
        <v>143</v>
      </c>
      <c r="G28" s="66">
        <f aca="true" t="shared" si="5" ref="G28:G51">SUM(H28:S28)</f>
        <v>181.665</v>
      </c>
      <c r="H28" s="38"/>
      <c r="I28" s="38"/>
      <c r="J28" s="66">
        <v>23.2</v>
      </c>
      <c r="K28" s="38"/>
      <c r="L28" s="38"/>
      <c r="M28" s="38"/>
      <c r="N28" s="38"/>
      <c r="O28" s="38"/>
      <c r="P28" s="66">
        <v>158.465</v>
      </c>
      <c r="Q28" s="38"/>
      <c r="R28" s="38"/>
      <c r="S28" s="38"/>
      <c r="T28" s="42"/>
    </row>
    <row r="29" spans="1:20" ht="31.5">
      <c r="A29" s="109" t="s">
        <v>292</v>
      </c>
      <c r="B29" s="49"/>
      <c r="C29" s="111" t="s">
        <v>282</v>
      </c>
      <c r="D29" s="113" t="s">
        <v>146</v>
      </c>
      <c r="E29" s="35" t="s">
        <v>267</v>
      </c>
      <c r="F29" s="51" t="s">
        <v>143</v>
      </c>
      <c r="G29" s="66">
        <v>896.776</v>
      </c>
      <c r="H29" s="38"/>
      <c r="I29" s="38"/>
      <c r="J29" s="66">
        <v>33.374</v>
      </c>
      <c r="K29" s="38"/>
      <c r="L29" s="38"/>
      <c r="M29" s="38"/>
      <c r="N29" s="38"/>
      <c r="O29" s="38"/>
      <c r="P29" s="66">
        <v>863.402</v>
      </c>
      <c r="Q29" s="38"/>
      <c r="R29" s="38"/>
      <c r="S29" s="38"/>
      <c r="T29" s="42"/>
    </row>
    <row r="30" spans="1:20" ht="71.25" customHeight="1">
      <c r="A30" s="110"/>
      <c r="B30" s="52"/>
      <c r="C30" s="112"/>
      <c r="D30" s="113"/>
      <c r="E30" s="35" t="s">
        <v>239</v>
      </c>
      <c r="F30" s="51" t="s">
        <v>144</v>
      </c>
      <c r="G30" s="66">
        <v>269.606</v>
      </c>
      <c r="H30" s="38"/>
      <c r="I30" s="38"/>
      <c r="J30" s="38"/>
      <c r="K30" s="38"/>
      <c r="L30" s="38"/>
      <c r="M30" s="38"/>
      <c r="N30" s="38"/>
      <c r="O30" s="38"/>
      <c r="P30" s="66">
        <v>269.606</v>
      </c>
      <c r="Q30" s="38"/>
      <c r="R30" s="38"/>
      <c r="S30" s="38"/>
      <c r="T30" s="42"/>
    </row>
    <row r="31" spans="1:20" ht="47.25">
      <c r="A31" s="109" t="s">
        <v>293</v>
      </c>
      <c r="B31" s="49"/>
      <c r="C31" s="111" t="s">
        <v>282</v>
      </c>
      <c r="D31" s="113" t="s">
        <v>147</v>
      </c>
      <c r="E31" s="35" t="s">
        <v>239</v>
      </c>
      <c r="F31" s="51" t="s">
        <v>143</v>
      </c>
      <c r="G31" s="66">
        <f t="shared" si="5"/>
        <v>204.08100000000002</v>
      </c>
      <c r="H31" s="38"/>
      <c r="I31" s="38"/>
      <c r="J31" s="38">
        <f>48-37.694</f>
        <v>10.305999999999997</v>
      </c>
      <c r="K31" s="38"/>
      <c r="L31" s="38"/>
      <c r="M31" s="38"/>
      <c r="N31" s="38"/>
      <c r="O31" s="38"/>
      <c r="P31" s="66">
        <v>193.775</v>
      </c>
      <c r="Q31" s="38"/>
      <c r="R31" s="38"/>
      <c r="S31" s="38"/>
      <c r="T31" s="42"/>
    </row>
    <row r="32" spans="1:20" ht="31.5">
      <c r="A32" s="110"/>
      <c r="B32" s="52"/>
      <c r="C32" s="112"/>
      <c r="D32" s="113"/>
      <c r="E32" s="35" t="s">
        <v>267</v>
      </c>
      <c r="F32" s="51" t="s">
        <v>144</v>
      </c>
      <c r="G32" s="38">
        <f t="shared" si="5"/>
        <v>106.48</v>
      </c>
      <c r="H32" s="38"/>
      <c r="I32" s="38"/>
      <c r="J32" s="38"/>
      <c r="K32" s="38"/>
      <c r="L32" s="38"/>
      <c r="M32" s="38"/>
      <c r="N32" s="38"/>
      <c r="O32" s="38"/>
      <c r="P32" s="38">
        <v>106.48</v>
      </c>
      <c r="Q32" s="38"/>
      <c r="R32" s="38"/>
      <c r="S32" s="38"/>
      <c r="T32" s="42"/>
    </row>
    <row r="33" spans="1:20" ht="50.25" customHeight="1">
      <c r="A33" s="109" t="s">
        <v>294</v>
      </c>
      <c r="B33" s="49"/>
      <c r="C33" s="111" t="s">
        <v>282</v>
      </c>
      <c r="D33" s="113" t="s">
        <v>148</v>
      </c>
      <c r="E33" s="35" t="s">
        <v>238</v>
      </c>
      <c r="F33" s="51" t="s">
        <v>143</v>
      </c>
      <c r="G33" s="38">
        <f t="shared" si="5"/>
        <v>234.34400000000002</v>
      </c>
      <c r="H33" s="38"/>
      <c r="I33" s="38"/>
      <c r="J33" s="38">
        <f>8+2.8</f>
        <v>10.8</v>
      </c>
      <c r="K33" s="38"/>
      <c r="L33" s="38"/>
      <c r="M33" s="38"/>
      <c r="N33" s="38"/>
      <c r="O33" s="38"/>
      <c r="P33" s="38">
        <f>236.544-2.8-10.2</f>
        <v>223.544</v>
      </c>
      <c r="Q33" s="38"/>
      <c r="R33" s="38"/>
      <c r="S33" s="38"/>
      <c r="T33" s="53"/>
    </row>
    <row r="34" spans="1:20" ht="50.25" customHeight="1">
      <c r="A34" s="114"/>
      <c r="B34" s="75"/>
      <c r="C34" s="115"/>
      <c r="D34" s="113"/>
      <c r="E34" s="35" t="s">
        <v>239</v>
      </c>
      <c r="F34" s="51" t="s">
        <v>284</v>
      </c>
      <c r="G34" s="54">
        <f t="shared" si="5"/>
        <v>19.7532</v>
      </c>
      <c r="H34" s="38"/>
      <c r="I34" s="38"/>
      <c r="J34" s="54">
        <v>19.7532</v>
      </c>
      <c r="K34" s="38"/>
      <c r="L34" s="38"/>
      <c r="M34" s="38"/>
      <c r="N34" s="38"/>
      <c r="O34" s="38"/>
      <c r="P34" s="38"/>
      <c r="Q34" s="38"/>
      <c r="R34" s="38"/>
      <c r="S34" s="38"/>
      <c r="T34" s="53"/>
    </row>
    <row r="35" spans="1:20" ht="50.25" customHeight="1">
      <c r="A35" s="110"/>
      <c r="B35" s="52"/>
      <c r="C35" s="112"/>
      <c r="D35" s="113"/>
      <c r="E35" s="35" t="s">
        <v>267</v>
      </c>
      <c r="F35" s="51" t="s">
        <v>144</v>
      </c>
      <c r="G35" s="55">
        <f t="shared" si="5"/>
        <v>100.0368</v>
      </c>
      <c r="H35" s="38"/>
      <c r="I35" s="38"/>
      <c r="J35" s="38"/>
      <c r="K35" s="38"/>
      <c r="L35" s="38"/>
      <c r="M35" s="38"/>
      <c r="N35" s="38"/>
      <c r="O35" s="38"/>
      <c r="P35" s="55">
        <v>100.0368</v>
      </c>
      <c r="Q35" s="38"/>
      <c r="R35" s="38"/>
      <c r="S35" s="38"/>
      <c r="T35" s="42"/>
    </row>
    <row r="36" spans="1:20" ht="51.75" customHeight="1">
      <c r="A36" s="109" t="s">
        <v>295</v>
      </c>
      <c r="B36" s="49"/>
      <c r="C36" s="111" t="s">
        <v>282</v>
      </c>
      <c r="D36" s="113" t="s">
        <v>149</v>
      </c>
      <c r="E36" s="35" t="s">
        <v>239</v>
      </c>
      <c r="F36" s="51" t="s">
        <v>143</v>
      </c>
      <c r="G36" s="66">
        <f t="shared" si="5"/>
        <v>121.14</v>
      </c>
      <c r="H36" s="38"/>
      <c r="I36" s="38"/>
      <c r="J36" s="66">
        <v>11.7</v>
      </c>
      <c r="K36" s="38"/>
      <c r="L36" s="38"/>
      <c r="M36" s="38"/>
      <c r="N36" s="38"/>
      <c r="O36" s="38"/>
      <c r="P36" s="66">
        <v>109.44</v>
      </c>
      <c r="Q36" s="38"/>
      <c r="R36" s="38"/>
      <c r="S36" s="38"/>
      <c r="T36" s="42"/>
    </row>
    <row r="37" spans="1:20" ht="50.25" customHeight="1">
      <c r="A37" s="110"/>
      <c r="B37" s="52"/>
      <c r="C37" s="112"/>
      <c r="D37" s="113"/>
      <c r="E37" s="35" t="s">
        <v>239</v>
      </c>
      <c r="F37" s="69" t="s">
        <v>309</v>
      </c>
      <c r="G37" s="38">
        <f t="shared" si="5"/>
        <v>170.368</v>
      </c>
      <c r="H37" s="38"/>
      <c r="I37" s="38"/>
      <c r="J37" s="38"/>
      <c r="K37" s="38"/>
      <c r="L37" s="38"/>
      <c r="M37" s="38"/>
      <c r="N37" s="38"/>
      <c r="O37" s="38"/>
      <c r="P37" s="38">
        <v>170.368</v>
      </c>
      <c r="Q37" s="38"/>
      <c r="R37" s="38"/>
      <c r="S37" s="38"/>
      <c r="T37" s="42"/>
    </row>
    <row r="38" spans="1:20" ht="47.25">
      <c r="A38" s="109" t="s">
        <v>296</v>
      </c>
      <c r="B38" s="49"/>
      <c r="C38" s="111" t="s">
        <v>282</v>
      </c>
      <c r="D38" s="113" t="s">
        <v>150</v>
      </c>
      <c r="E38" s="35" t="s">
        <v>238</v>
      </c>
      <c r="F38" s="51" t="s">
        <v>143</v>
      </c>
      <c r="G38" s="66">
        <f t="shared" si="5"/>
        <v>508.414</v>
      </c>
      <c r="H38" s="38"/>
      <c r="I38" s="38"/>
      <c r="J38" s="66">
        <v>22.414</v>
      </c>
      <c r="K38" s="38"/>
      <c r="L38" s="38"/>
      <c r="M38" s="38"/>
      <c r="N38" s="38"/>
      <c r="O38" s="38"/>
      <c r="P38" s="66">
        <v>486</v>
      </c>
      <c r="Q38" s="38"/>
      <c r="R38" s="38"/>
      <c r="S38" s="38"/>
      <c r="T38" s="42"/>
    </row>
    <row r="39" spans="1:20" ht="47.25">
      <c r="A39" s="110"/>
      <c r="B39" s="52"/>
      <c r="C39" s="112"/>
      <c r="D39" s="113"/>
      <c r="E39" s="35" t="s">
        <v>238</v>
      </c>
      <c r="F39" s="51" t="s">
        <v>144</v>
      </c>
      <c r="G39" s="66">
        <f t="shared" si="5"/>
        <v>120.562</v>
      </c>
      <c r="H39" s="38"/>
      <c r="I39" s="38"/>
      <c r="J39" s="38"/>
      <c r="K39" s="38"/>
      <c r="L39" s="38"/>
      <c r="M39" s="38"/>
      <c r="N39" s="38"/>
      <c r="O39" s="38"/>
      <c r="P39" s="66">
        <v>120.562</v>
      </c>
      <c r="Q39" s="38"/>
      <c r="R39" s="38"/>
      <c r="S39" s="38"/>
      <c r="T39" s="42" t="s">
        <v>271</v>
      </c>
    </row>
    <row r="40" spans="1:20" ht="39.75" customHeight="1">
      <c r="A40" s="109" t="s">
        <v>297</v>
      </c>
      <c r="B40" s="49"/>
      <c r="C40" s="111" t="s">
        <v>282</v>
      </c>
      <c r="D40" s="113" t="s">
        <v>151</v>
      </c>
      <c r="E40" s="35" t="s">
        <v>267</v>
      </c>
      <c r="F40" s="51" t="s">
        <v>143</v>
      </c>
      <c r="G40" s="66">
        <f t="shared" si="5"/>
        <v>326.88</v>
      </c>
      <c r="H40" s="38"/>
      <c r="I40" s="38"/>
      <c r="J40" s="38">
        <f>21.09-4.79</f>
        <v>16.3</v>
      </c>
      <c r="K40" s="38"/>
      <c r="L40" s="38"/>
      <c r="M40" s="38"/>
      <c r="N40" s="38"/>
      <c r="O40" s="38"/>
      <c r="P40" s="66">
        <v>310.58</v>
      </c>
      <c r="Q40" s="38"/>
      <c r="R40" s="38"/>
      <c r="S40" s="38"/>
      <c r="T40" s="42"/>
    </row>
    <row r="41" spans="1:20" ht="47.25">
      <c r="A41" s="110"/>
      <c r="B41" s="52"/>
      <c r="C41" s="112"/>
      <c r="D41" s="113"/>
      <c r="E41" s="35" t="s">
        <v>238</v>
      </c>
      <c r="F41" s="51" t="s">
        <v>144</v>
      </c>
      <c r="G41" s="38">
        <f t="shared" si="5"/>
        <v>127.776</v>
      </c>
      <c r="H41" s="38"/>
      <c r="I41" s="38"/>
      <c r="J41" s="38"/>
      <c r="K41" s="38"/>
      <c r="L41" s="38"/>
      <c r="M41" s="38"/>
      <c r="N41" s="38"/>
      <c r="O41" s="38"/>
      <c r="P41" s="38">
        <v>127.776</v>
      </c>
      <c r="Q41" s="38"/>
      <c r="R41" s="38"/>
      <c r="S41" s="38"/>
      <c r="T41" s="42"/>
    </row>
    <row r="42" spans="1:20" ht="47.25">
      <c r="A42" s="109" t="s">
        <v>298</v>
      </c>
      <c r="B42" s="49"/>
      <c r="C42" s="111" t="s">
        <v>282</v>
      </c>
      <c r="D42" s="113" t="s">
        <v>152</v>
      </c>
      <c r="E42" s="35" t="s">
        <v>238</v>
      </c>
      <c r="F42" s="51" t="s">
        <v>143</v>
      </c>
      <c r="G42" s="66">
        <f t="shared" si="5"/>
        <v>131.623</v>
      </c>
      <c r="H42" s="38"/>
      <c r="I42" s="38"/>
      <c r="J42" s="66">
        <v>10.485</v>
      </c>
      <c r="K42" s="38"/>
      <c r="L42" s="38"/>
      <c r="M42" s="38"/>
      <c r="N42" s="38"/>
      <c r="O42" s="38"/>
      <c r="P42" s="66">
        <v>121.138</v>
      </c>
      <c r="Q42" s="38"/>
      <c r="R42" s="38"/>
      <c r="S42" s="38"/>
      <c r="T42" s="42"/>
    </row>
    <row r="43" spans="1:20" ht="47.25">
      <c r="A43" s="110"/>
      <c r="B43" s="52"/>
      <c r="C43" s="112"/>
      <c r="D43" s="113"/>
      <c r="E43" s="35" t="s">
        <v>238</v>
      </c>
      <c r="F43" s="51" t="s">
        <v>144</v>
      </c>
      <c r="G43" s="66">
        <f>P43</f>
        <v>63.888</v>
      </c>
      <c r="H43" s="38"/>
      <c r="I43" s="38"/>
      <c r="J43" s="38"/>
      <c r="K43" s="38"/>
      <c r="L43" s="38"/>
      <c r="M43" s="38"/>
      <c r="N43" s="38"/>
      <c r="O43" s="38"/>
      <c r="P43" s="66">
        <v>63.888</v>
      </c>
      <c r="Q43" s="38"/>
      <c r="R43" s="38"/>
      <c r="S43" s="38"/>
      <c r="T43" s="42"/>
    </row>
    <row r="44" spans="1:20" ht="47.25">
      <c r="A44" s="109" t="s">
        <v>299</v>
      </c>
      <c r="B44" s="49"/>
      <c r="C44" s="111" t="s">
        <v>282</v>
      </c>
      <c r="D44" s="113" t="s">
        <v>153</v>
      </c>
      <c r="E44" s="35" t="s">
        <v>238</v>
      </c>
      <c r="F44" s="51" t="s">
        <v>143</v>
      </c>
      <c r="G44" s="38">
        <f t="shared" si="5"/>
        <v>303.851</v>
      </c>
      <c r="H44" s="38"/>
      <c r="I44" s="38"/>
      <c r="J44" s="54">
        <f>12-2.1245</f>
        <v>9.8755</v>
      </c>
      <c r="K44" s="38"/>
      <c r="L44" s="38"/>
      <c r="M44" s="38"/>
      <c r="N44" s="38"/>
      <c r="O44" s="38"/>
      <c r="P44" s="54">
        <f>158.465+2.1245+26.906+106.48</f>
        <v>293.9755</v>
      </c>
      <c r="Q44" s="38"/>
      <c r="R44" s="38"/>
      <c r="S44" s="38"/>
      <c r="T44" s="42"/>
    </row>
    <row r="45" spans="1:20" ht="47.25">
      <c r="A45" s="110"/>
      <c r="B45" s="52"/>
      <c r="C45" s="112"/>
      <c r="D45" s="113"/>
      <c r="E45" s="35" t="s">
        <v>238</v>
      </c>
      <c r="F45" s="51" t="s">
        <v>144</v>
      </c>
      <c r="G45" s="38">
        <f t="shared" si="5"/>
        <v>0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2"/>
    </row>
    <row r="46" spans="1:20" ht="47.25">
      <c r="A46" s="109" t="s">
        <v>300</v>
      </c>
      <c r="B46" s="49"/>
      <c r="C46" s="111" t="s">
        <v>282</v>
      </c>
      <c r="D46" s="113" t="s">
        <v>154</v>
      </c>
      <c r="E46" s="35" t="s">
        <v>238</v>
      </c>
      <c r="F46" s="51" t="s">
        <v>143</v>
      </c>
      <c r="G46" s="38">
        <f t="shared" si="5"/>
        <v>284.223</v>
      </c>
      <c r="H46" s="38"/>
      <c r="I46" s="38"/>
      <c r="J46" s="38">
        <f>32-20.3</f>
        <v>11.7</v>
      </c>
      <c r="K46" s="38"/>
      <c r="L46" s="38"/>
      <c r="M46" s="38"/>
      <c r="N46" s="38"/>
      <c r="O46" s="38"/>
      <c r="P46" s="38">
        <f>296.93-24.407</f>
        <v>272.523</v>
      </c>
      <c r="Q46" s="38"/>
      <c r="R46" s="38"/>
      <c r="S46" s="38"/>
      <c r="T46" s="42"/>
    </row>
    <row r="47" spans="1:20" ht="47.25">
      <c r="A47" s="110"/>
      <c r="B47" s="52"/>
      <c r="C47" s="112"/>
      <c r="D47" s="113"/>
      <c r="E47" s="35" t="s">
        <v>238</v>
      </c>
      <c r="F47" s="51" t="s">
        <v>144</v>
      </c>
      <c r="G47" s="38">
        <f t="shared" si="5"/>
        <v>257.66700000000003</v>
      </c>
      <c r="H47" s="38"/>
      <c r="I47" s="38"/>
      <c r="J47" s="38"/>
      <c r="K47" s="38"/>
      <c r="L47" s="38"/>
      <c r="M47" s="38"/>
      <c r="N47" s="38"/>
      <c r="O47" s="38"/>
      <c r="P47" s="38">
        <f>212.96+20.3+24.407</f>
        <v>257.66700000000003</v>
      </c>
      <c r="Q47" s="38"/>
      <c r="R47" s="38"/>
      <c r="S47" s="38"/>
      <c r="T47" s="42"/>
    </row>
    <row r="48" spans="1:20" ht="94.5">
      <c r="A48" s="49" t="s">
        <v>301</v>
      </c>
      <c r="B48" s="49"/>
      <c r="C48" s="50" t="s">
        <v>282</v>
      </c>
      <c r="D48" s="71" t="s">
        <v>155</v>
      </c>
      <c r="E48" s="35" t="s">
        <v>267</v>
      </c>
      <c r="F48" s="51" t="s">
        <v>284</v>
      </c>
      <c r="G48" s="38">
        <f t="shared" si="5"/>
        <v>79.386</v>
      </c>
      <c r="H48" s="38"/>
      <c r="I48" s="38"/>
      <c r="J48" s="38">
        <v>12</v>
      </c>
      <c r="K48" s="38"/>
      <c r="L48" s="38"/>
      <c r="M48" s="38"/>
      <c r="N48" s="38"/>
      <c r="O48" s="38"/>
      <c r="P48" s="38">
        <v>67.386</v>
      </c>
      <c r="Q48" s="38"/>
      <c r="R48" s="38"/>
      <c r="S48" s="38"/>
      <c r="T48" s="42"/>
    </row>
    <row r="49" spans="1:20" ht="47.25">
      <c r="A49" s="109" t="s">
        <v>302</v>
      </c>
      <c r="B49" s="49"/>
      <c r="C49" s="111" t="s">
        <v>282</v>
      </c>
      <c r="D49" s="113" t="s">
        <v>156</v>
      </c>
      <c r="E49" s="35" t="s">
        <v>238</v>
      </c>
      <c r="F49" s="51" t="s">
        <v>143</v>
      </c>
      <c r="G49" s="74">
        <f t="shared" si="5"/>
        <v>136.6475</v>
      </c>
      <c r="H49" s="38"/>
      <c r="I49" s="38"/>
      <c r="J49" s="74">
        <v>9.8755</v>
      </c>
      <c r="K49" s="38"/>
      <c r="L49" s="38"/>
      <c r="M49" s="38"/>
      <c r="N49" s="38"/>
      <c r="O49" s="38"/>
      <c r="P49" s="38">
        <v>126.772</v>
      </c>
      <c r="Q49" s="38"/>
      <c r="R49" s="38"/>
      <c r="S49" s="38"/>
      <c r="T49" s="42"/>
    </row>
    <row r="50" spans="1:20" ht="47.25">
      <c r="A50" s="110"/>
      <c r="B50" s="52"/>
      <c r="C50" s="112"/>
      <c r="D50" s="113"/>
      <c r="E50" s="70" t="s">
        <v>239</v>
      </c>
      <c r="F50" s="51" t="s">
        <v>144</v>
      </c>
      <c r="G50" s="38">
        <f t="shared" si="5"/>
        <v>85.184</v>
      </c>
      <c r="H50" s="38"/>
      <c r="I50" s="38"/>
      <c r="J50" s="38"/>
      <c r="K50" s="38"/>
      <c r="L50" s="38"/>
      <c r="M50" s="38"/>
      <c r="N50" s="38"/>
      <c r="O50" s="38"/>
      <c r="P50" s="38">
        <v>85.184</v>
      </c>
      <c r="Q50" s="38"/>
      <c r="R50" s="38"/>
      <c r="S50" s="38"/>
      <c r="T50" s="42"/>
    </row>
    <row r="51" spans="1:20" ht="94.5">
      <c r="A51" s="49" t="s">
        <v>303</v>
      </c>
      <c r="B51" s="49"/>
      <c r="C51" s="50" t="s">
        <v>282</v>
      </c>
      <c r="D51" s="72" t="s">
        <v>157</v>
      </c>
      <c r="E51" s="35" t="s">
        <v>238</v>
      </c>
      <c r="F51" s="51" t="s">
        <v>143</v>
      </c>
      <c r="G51" s="38">
        <f t="shared" si="5"/>
        <v>95.079</v>
      </c>
      <c r="H51" s="38"/>
      <c r="I51" s="38"/>
      <c r="J51" s="38"/>
      <c r="K51" s="38"/>
      <c r="L51" s="38"/>
      <c r="M51" s="38"/>
      <c r="N51" s="38"/>
      <c r="O51" s="38"/>
      <c r="P51" s="38">
        <v>95.079</v>
      </c>
      <c r="Q51" s="38"/>
      <c r="R51" s="38"/>
      <c r="S51" s="38"/>
      <c r="T51" s="42"/>
    </row>
    <row r="52" spans="1:20" ht="78.75" customHeight="1">
      <c r="A52" s="43" t="s">
        <v>58</v>
      </c>
      <c r="B52" s="40"/>
      <c r="C52" s="106" t="s">
        <v>204</v>
      </c>
      <c r="D52" s="107"/>
      <c r="E52" s="107"/>
      <c r="F52" s="108"/>
      <c r="G52" s="38">
        <f>SUM(G54,G56,G58)</f>
        <v>55849.1</v>
      </c>
      <c r="H52" s="38">
        <f>SUM(H54:H58)</f>
        <v>0</v>
      </c>
      <c r="I52" s="38">
        <f aca="true" t="shared" si="6" ref="I52:S52">SUM(I54:I58)</f>
        <v>0</v>
      </c>
      <c r="J52" s="38">
        <f t="shared" si="6"/>
        <v>214.6432</v>
      </c>
      <c r="K52" s="38">
        <f t="shared" si="6"/>
        <v>0</v>
      </c>
      <c r="L52" s="38">
        <f t="shared" si="6"/>
        <v>306.3568</v>
      </c>
      <c r="M52" s="38"/>
      <c r="N52" s="38">
        <f t="shared" si="6"/>
        <v>0</v>
      </c>
      <c r="O52" s="38">
        <f t="shared" si="6"/>
        <v>0</v>
      </c>
      <c r="P52" s="38">
        <f t="shared" si="6"/>
        <v>0</v>
      </c>
      <c r="Q52" s="38">
        <f t="shared" si="6"/>
        <v>0</v>
      </c>
      <c r="R52" s="38">
        <f t="shared" si="6"/>
        <v>0</v>
      </c>
      <c r="S52" s="38">
        <f t="shared" si="6"/>
        <v>0</v>
      </c>
      <c r="T52" s="42"/>
    </row>
    <row r="53" spans="1:20" ht="15.75">
      <c r="A53" s="43" t="s">
        <v>223</v>
      </c>
      <c r="B53" s="40"/>
      <c r="C53" s="40" t="s">
        <v>244</v>
      </c>
      <c r="D53" s="41"/>
      <c r="E53" s="45"/>
      <c r="F53" s="46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42"/>
    </row>
    <row r="54" spans="1:20" ht="78.75" customHeight="1">
      <c r="A54" s="35" t="s">
        <v>55</v>
      </c>
      <c r="B54" s="35" t="s">
        <v>255</v>
      </c>
      <c r="C54" s="46" t="s">
        <v>177</v>
      </c>
      <c r="D54" s="35" t="s">
        <v>221</v>
      </c>
      <c r="E54" s="35"/>
      <c r="F54" s="46" t="s">
        <v>107</v>
      </c>
      <c r="G54" s="38">
        <v>54914</v>
      </c>
      <c r="H54" s="38"/>
      <c r="I54" s="38"/>
      <c r="J54" s="38"/>
      <c r="K54" s="38"/>
      <c r="L54" s="38"/>
      <c r="M54" s="38">
        <v>54914</v>
      </c>
      <c r="N54" s="38"/>
      <c r="O54" s="38"/>
      <c r="P54" s="38"/>
      <c r="Q54" s="38"/>
      <c r="R54" s="38"/>
      <c r="S54" s="38"/>
      <c r="T54" s="42"/>
    </row>
    <row r="55" spans="1:20" ht="15.75">
      <c r="A55" s="43" t="s">
        <v>223</v>
      </c>
      <c r="B55" s="39"/>
      <c r="C55" s="40" t="s">
        <v>227</v>
      </c>
      <c r="D55" s="35"/>
      <c r="E55" s="35"/>
      <c r="F55" s="46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42"/>
    </row>
    <row r="56" spans="1:20" ht="56.25" customHeight="1">
      <c r="A56" s="35" t="s">
        <v>52</v>
      </c>
      <c r="B56" s="35" t="s">
        <v>256</v>
      </c>
      <c r="C56" s="46" t="s">
        <v>178</v>
      </c>
      <c r="D56" s="35" t="s">
        <v>221</v>
      </c>
      <c r="E56" s="51"/>
      <c r="F56" s="35" t="s">
        <v>270</v>
      </c>
      <c r="G56" s="38">
        <f>SUM(H56:S56)</f>
        <v>521</v>
      </c>
      <c r="H56" s="55"/>
      <c r="I56" s="55"/>
      <c r="J56" s="55">
        <v>214.6432</v>
      </c>
      <c r="K56" s="55"/>
      <c r="L56" s="55">
        <v>306.3568</v>
      </c>
      <c r="M56" s="38"/>
      <c r="N56" s="38"/>
      <c r="O56" s="38"/>
      <c r="P56" s="38"/>
      <c r="Q56" s="38"/>
      <c r="R56" s="38"/>
      <c r="S56" s="38"/>
      <c r="T56" s="42"/>
    </row>
    <row r="57" spans="1:20" ht="15.75">
      <c r="A57" s="35"/>
      <c r="B57" s="39"/>
      <c r="C57" s="40" t="s">
        <v>244</v>
      </c>
      <c r="D57" s="35"/>
      <c r="E57" s="56"/>
      <c r="F57" s="49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42"/>
    </row>
    <row r="58" spans="1:20" ht="63">
      <c r="A58" s="35" t="s">
        <v>50</v>
      </c>
      <c r="B58" s="35" t="s">
        <v>257</v>
      </c>
      <c r="C58" s="46" t="s">
        <v>179</v>
      </c>
      <c r="D58" s="35" t="s">
        <v>221</v>
      </c>
      <c r="E58" s="49"/>
      <c r="F58" s="50" t="s">
        <v>107</v>
      </c>
      <c r="G58" s="38">
        <f>512.2-98.1</f>
        <v>414.1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42"/>
    </row>
    <row r="59" spans="1:20" ht="78.75" customHeight="1">
      <c r="A59" s="43" t="s">
        <v>45</v>
      </c>
      <c r="B59" s="40"/>
      <c r="C59" s="106" t="s">
        <v>205</v>
      </c>
      <c r="D59" s="107"/>
      <c r="E59" s="107"/>
      <c r="F59" s="108"/>
      <c r="G59" s="48">
        <f>SUM(G61,G63,G64,G65)</f>
        <v>7660</v>
      </c>
      <c r="H59" s="38">
        <f>SUM(H61:H65)</f>
        <v>0</v>
      </c>
      <c r="I59" s="38">
        <f>SUM(I61:I65)</f>
        <v>0</v>
      </c>
      <c r="J59" s="38">
        <f>SUM(J61:J65)</f>
        <v>0</v>
      </c>
      <c r="K59" s="38">
        <f>SUM(K61:K65)</f>
        <v>0</v>
      </c>
      <c r="L59" s="38">
        <f>SUM(L61:L65)</f>
        <v>7</v>
      </c>
      <c r="M59" s="38"/>
      <c r="N59" s="38">
        <f aca="true" t="shared" si="7" ref="N59:S59">SUM(N61:N65)</f>
        <v>0</v>
      </c>
      <c r="O59" s="38">
        <f t="shared" si="7"/>
        <v>0</v>
      </c>
      <c r="P59" s="38">
        <f t="shared" si="7"/>
        <v>0</v>
      </c>
      <c r="Q59" s="38">
        <f t="shared" si="7"/>
        <v>0</v>
      </c>
      <c r="R59" s="38">
        <f t="shared" si="7"/>
        <v>7213</v>
      </c>
      <c r="S59" s="38">
        <f t="shared" si="7"/>
        <v>0</v>
      </c>
      <c r="T59" s="42"/>
    </row>
    <row r="60" spans="1:20" ht="18.75">
      <c r="A60" s="43" t="s">
        <v>223</v>
      </c>
      <c r="B60" s="40"/>
      <c r="C60" s="44" t="s">
        <v>227</v>
      </c>
      <c r="D60" s="41"/>
      <c r="E60" s="45"/>
      <c r="F60" s="46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42"/>
    </row>
    <row r="61" spans="1:20" ht="31.5">
      <c r="A61" s="35" t="s">
        <v>266</v>
      </c>
      <c r="B61" s="35" t="s">
        <v>258</v>
      </c>
      <c r="C61" s="46" t="s">
        <v>228</v>
      </c>
      <c r="D61" s="35"/>
      <c r="E61" s="35"/>
      <c r="F61" s="46"/>
      <c r="G61" s="38">
        <f>G62</f>
        <v>480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>
        <v>480</v>
      </c>
      <c r="S61" s="38"/>
      <c r="T61" s="42"/>
    </row>
    <row r="62" spans="1:20" ht="47.25">
      <c r="A62" s="35" t="s">
        <v>265</v>
      </c>
      <c r="B62" s="35"/>
      <c r="C62" s="46" t="s">
        <v>228</v>
      </c>
      <c r="D62" s="35" t="s">
        <v>159</v>
      </c>
      <c r="E62" s="35" t="s">
        <v>238</v>
      </c>
      <c r="F62" s="46" t="s">
        <v>230</v>
      </c>
      <c r="G62" s="38">
        <v>480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>
        <v>480</v>
      </c>
      <c r="S62" s="38"/>
      <c r="T62" s="42"/>
    </row>
    <row r="63" spans="1:20" ht="47.25">
      <c r="A63" s="35" t="s">
        <v>36</v>
      </c>
      <c r="B63" s="35" t="s">
        <v>259</v>
      </c>
      <c r="C63" s="46" t="s">
        <v>180</v>
      </c>
      <c r="D63" s="64" t="s">
        <v>304</v>
      </c>
      <c r="E63" s="64" t="s">
        <v>267</v>
      </c>
      <c r="F63" s="65" t="s">
        <v>113</v>
      </c>
      <c r="G63" s="48">
        <v>100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>
        <v>100</v>
      </c>
      <c r="S63" s="38"/>
      <c r="T63" s="42"/>
    </row>
    <row r="64" spans="1:20" ht="47.25">
      <c r="A64" s="35" t="s">
        <v>181</v>
      </c>
      <c r="B64" s="35" t="s">
        <v>260</v>
      </c>
      <c r="C64" s="46" t="s">
        <v>124</v>
      </c>
      <c r="D64" s="35" t="s">
        <v>160</v>
      </c>
      <c r="E64" s="35" t="s">
        <v>238</v>
      </c>
      <c r="F64" s="46" t="s">
        <v>230</v>
      </c>
      <c r="G64" s="38">
        <v>300</v>
      </c>
      <c r="H64" s="38"/>
      <c r="I64" s="38"/>
      <c r="J64" s="38"/>
      <c r="K64" s="38"/>
      <c r="L64" s="66">
        <v>7</v>
      </c>
      <c r="M64" s="38"/>
      <c r="N64" s="38"/>
      <c r="O64" s="38"/>
      <c r="P64" s="38"/>
      <c r="Q64" s="38"/>
      <c r="R64" s="66">
        <v>293</v>
      </c>
      <c r="S64" s="38"/>
      <c r="T64" s="42"/>
    </row>
    <row r="65" spans="1:20" ht="47.25">
      <c r="A65" s="35" t="s">
        <v>30</v>
      </c>
      <c r="B65" s="35" t="s">
        <v>261</v>
      </c>
      <c r="C65" s="46" t="s">
        <v>182</v>
      </c>
      <c r="D65" s="35"/>
      <c r="E65" s="35"/>
      <c r="F65" s="57"/>
      <c r="G65" s="38">
        <f>SUM(G66:G68)</f>
        <v>6780</v>
      </c>
      <c r="H65" s="38">
        <f>SUM(H66:H67)</f>
        <v>0</v>
      </c>
      <c r="I65" s="38">
        <f>SUM(I66:I67)</f>
        <v>0</v>
      </c>
      <c r="J65" s="38">
        <f>SUM(J66:J67)</f>
        <v>0</v>
      </c>
      <c r="K65" s="38">
        <f>SUM(K66:K67)</f>
        <v>0</v>
      </c>
      <c r="L65" s="38">
        <f>SUM(L66:L67)</f>
        <v>0</v>
      </c>
      <c r="M65" s="38"/>
      <c r="N65" s="38">
        <f aca="true" t="shared" si="8" ref="N65:S65">SUM(N66:N67)</f>
        <v>0</v>
      </c>
      <c r="O65" s="38">
        <f t="shared" si="8"/>
        <v>0</v>
      </c>
      <c r="P65" s="38">
        <f t="shared" si="8"/>
        <v>0</v>
      </c>
      <c r="Q65" s="38">
        <f t="shared" si="8"/>
        <v>0</v>
      </c>
      <c r="R65" s="38">
        <f t="shared" si="8"/>
        <v>5860</v>
      </c>
      <c r="S65" s="38">
        <f t="shared" si="8"/>
        <v>0</v>
      </c>
      <c r="T65" s="42"/>
    </row>
    <row r="66" spans="1:20" ht="47.25">
      <c r="A66" s="35" t="s">
        <v>306</v>
      </c>
      <c r="B66" s="35"/>
      <c r="C66" s="46" t="s">
        <v>182</v>
      </c>
      <c r="D66" s="35" t="s">
        <v>161</v>
      </c>
      <c r="E66" s="35" t="s">
        <v>238</v>
      </c>
      <c r="F66" s="46" t="s">
        <v>230</v>
      </c>
      <c r="G66" s="38">
        <v>3360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>
        <v>3360</v>
      </c>
      <c r="S66" s="38"/>
      <c r="T66" s="42"/>
    </row>
    <row r="67" spans="1:20" ht="47.25">
      <c r="A67" s="35" t="s">
        <v>307</v>
      </c>
      <c r="B67" s="35"/>
      <c r="C67" s="46" t="s">
        <v>182</v>
      </c>
      <c r="D67" s="35" t="s">
        <v>185</v>
      </c>
      <c r="E67" s="35" t="s">
        <v>238</v>
      </c>
      <c r="F67" s="46" t="s">
        <v>230</v>
      </c>
      <c r="G67" s="38">
        <v>2500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>
        <v>2500</v>
      </c>
      <c r="S67" s="38"/>
      <c r="T67" s="42"/>
    </row>
    <row r="68" spans="1:20" ht="47.25">
      <c r="A68" s="35" t="s">
        <v>308</v>
      </c>
      <c r="B68" s="35"/>
      <c r="C68" s="46" t="s">
        <v>182</v>
      </c>
      <c r="D68" s="35" t="s">
        <v>151</v>
      </c>
      <c r="E68" s="35" t="s">
        <v>267</v>
      </c>
      <c r="F68" s="46" t="s">
        <v>230</v>
      </c>
      <c r="G68" s="38">
        <v>920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>
        <v>920</v>
      </c>
      <c r="S68" s="38"/>
      <c r="T68" s="42"/>
    </row>
    <row r="69" spans="1:20" ht="78.75" customHeight="1">
      <c r="A69" s="43" t="s">
        <v>26</v>
      </c>
      <c r="B69" s="40"/>
      <c r="C69" s="106" t="s">
        <v>206</v>
      </c>
      <c r="D69" s="107"/>
      <c r="E69" s="107"/>
      <c r="F69" s="108"/>
      <c r="G69" s="38">
        <f>SUM(G71,G78,G94,G96,G98,G76)</f>
        <v>2899.048</v>
      </c>
      <c r="H69" s="38">
        <f>SUM(H71,H78,H94,H96,H98)</f>
        <v>0</v>
      </c>
      <c r="I69" s="38">
        <f aca="true" t="shared" si="9" ref="I69:S69">SUM(I71,I78,I94,I96,I98)</f>
        <v>0</v>
      </c>
      <c r="J69" s="38">
        <f t="shared" si="9"/>
        <v>20.273</v>
      </c>
      <c r="K69" s="38">
        <f t="shared" si="9"/>
        <v>0</v>
      </c>
      <c r="L69" s="38">
        <f>SUM(L71,L78,L94,L96,L98)</f>
        <v>45.775</v>
      </c>
      <c r="M69" s="38"/>
      <c r="N69" s="38">
        <f t="shared" si="9"/>
        <v>0</v>
      </c>
      <c r="O69" s="38">
        <f t="shared" si="9"/>
        <v>0</v>
      </c>
      <c r="P69" s="38">
        <f t="shared" si="9"/>
        <v>0</v>
      </c>
      <c r="Q69" s="38">
        <f t="shared" si="9"/>
        <v>2818</v>
      </c>
      <c r="R69" s="38">
        <f t="shared" si="9"/>
        <v>0</v>
      </c>
      <c r="S69" s="38">
        <f t="shared" si="9"/>
        <v>15</v>
      </c>
      <c r="T69" s="42"/>
    </row>
    <row r="70" spans="1:20" ht="18.75">
      <c r="A70" s="43" t="s">
        <v>223</v>
      </c>
      <c r="B70" s="40"/>
      <c r="C70" s="44" t="s">
        <v>227</v>
      </c>
      <c r="D70" s="41"/>
      <c r="E70" s="45"/>
      <c r="F70" s="46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42"/>
    </row>
    <row r="71" spans="1:20" ht="110.25">
      <c r="A71" s="35" t="s">
        <v>186</v>
      </c>
      <c r="B71" s="35" t="s">
        <v>262</v>
      </c>
      <c r="C71" s="46" t="s">
        <v>187</v>
      </c>
      <c r="D71" s="35"/>
      <c r="E71" s="35"/>
      <c r="F71" s="46"/>
      <c r="G71" s="48">
        <f>SUM(G72:G74)</f>
        <v>60</v>
      </c>
      <c r="H71" s="48">
        <f aca="true" t="shared" si="10" ref="H71:S71">SUM(H72:H76)</f>
        <v>0</v>
      </c>
      <c r="I71" s="48">
        <f t="shared" si="10"/>
        <v>0</v>
      </c>
      <c r="J71" s="48">
        <f t="shared" si="10"/>
        <v>0</v>
      </c>
      <c r="K71" s="48">
        <f t="shared" si="10"/>
        <v>0</v>
      </c>
      <c r="L71" s="48">
        <f>SUM(L72:L76)</f>
        <v>20</v>
      </c>
      <c r="M71" s="48"/>
      <c r="N71" s="48">
        <f t="shared" si="10"/>
        <v>0</v>
      </c>
      <c r="O71" s="48">
        <f t="shared" si="10"/>
        <v>0</v>
      </c>
      <c r="P71" s="48">
        <f t="shared" si="10"/>
        <v>0</v>
      </c>
      <c r="Q71" s="48">
        <f t="shared" si="10"/>
        <v>45</v>
      </c>
      <c r="R71" s="48">
        <f t="shared" si="10"/>
        <v>0</v>
      </c>
      <c r="S71" s="48">
        <f t="shared" si="10"/>
        <v>15</v>
      </c>
      <c r="T71" s="42"/>
    </row>
    <row r="72" spans="1:20" ht="47.25">
      <c r="A72" s="35" t="s">
        <v>240</v>
      </c>
      <c r="B72" s="35"/>
      <c r="C72" s="46" t="s">
        <v>192</v>
      </c>
      <c r="D72" s="35" t="s">
        <v>162</v>
      </c>
      <c r="E72" s="35" t="s">
        <v>239</v>
      </c>
      <c r="F72" s="46" t="s">
        <v>173</v>
      </c>
      <c r="G72" s="38">
        <v>20</v>
      </c>
      <c r="H72" s="38"/>
      <c r="I72" s="38"/>
      <c r="J72" s="38"/>
      <c r="K72" s="38"/>
      <c r="L72" s="38"/>
      <c r="M72" s="38"/>
      <c r="N72" s="38"/>
      <c r="O72" s="38"/>
      <c r="P72" s="38"/>
      <c r="Q72" s="38">
        <v>15</v>
      </c>
      <c r="R72" s="38"/>
      <c r="S72" s="38">
        <v>5</v>
      </c>
      <c r="T72" s="42"/>
    </row>
    <row r="73" spans="1:20" ht="47.25">
      <c r="A73" s="35" t="s">
        <v>241</v>
      </c>
      <c r="B73" s="35"/>
      <c r="C73" s="46" t="s">
        <v>192</v>
      </c>
      <c r="D73" s="35" t="s">
        <v>163</v>
      </c>
      <c r="E73" s="35" t="s">
        <v>239</v>
      </c>
      <c r="F73" s="46" t="s">
        <v>164</v>
      </c>
      <c r="G73" s="38">
        <v>20</v>
      </c>
      <c r="H73" s="38"/>
      <c r="I73" s="38"/>
      <c r="J73" s="38"/>
      <c r="K73" s="38"/>
      <c r="L73" s="38"/>
      <c r="M73" s="38"/>
      <c r="N73" s="38"/>
      <c r="O73" s="38"/>
      <c r="P73" s="38"/>
      <c r="Q73" s="38">
        <v>15</v>
      </c>
      <c r="R73" s="38"/>
      <c r="S73" s="38">
        <v>5</v>
      </c>
      <c r="T73" s="42"/>
    </row>
    <row r="74" spans="1:20" ht="47.25">
      <c r="A74" s="35" t="s">
        <v>242</v>
      </c>
      <c r="B74" s="35"/>
      <c r="C74" s="46" t="s">
        <v>193</v>
      </c>
      <c r="D74" s="35" t="s">
        <v>162</v>
      </c>
      <c r="E74" s="35" t="s">
        <v>239</v>
      </c>
      <c r="F74" s="46" t="s">
        <v>169</v>
      </c>
      <c r="G74" s="38">
        <v>20</v>
      </c>
      <c r="H74" s="38"/>
      <c r="I74" s="38"/>
      <c r="J74" s="38"/>
      <c r="K74" s="38"/>
      <c r="L74" s="38"/>
      <c r="M74" s="38"/>
      <c r="N74" s="38"/>
      <c r="O74" s="38"/>
      <c r="P74" s="38"/>
      <c r="Q74" s="38">
        <v>15</v>
      </c>
      <c r="R74" s="38"/>
      <c r="S74" s="38">
        <v>5</v>
      </c>
      <c r="T74" s="42"/>
    </row>
    <row r="75" spans="1:20" ht="18.75">
      <c r="A75" s="43" t="s">
        <v>223</v>
      </c>
      <c r="B75" s="40"/>
      <c r="C75" s="44" t="s">
        <v>268</v>
      </c>
      <c r="D75" s="41"/>
      <c r="E75" s="45"/>
      <c r="F75" s="46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42"/>
    </row>
    <row r="76" spans="1:20" ht="47.25">
      <c r="A76" s="35" t="s">
        <v>243</v>
      </c>
      <c r="B76" s="35"/>
      <c r="C76" s="46" t="s">
        <v>231</v>
      </c>
      <c r="D76" s="35" t="s">
        <v>222</v>
      </c>
      <c r="E76" s="35" t="s">
        <v>239</v>
      </c>
      <c r="F76" s="46" t="s">
        <v>174</v>
      </c>
      <c r="G76" s="38">
        <v>20</v>
      </c>
      <c r="H76" s="38"/>
      <c r="I76" s="38"/>
      <c r="J76" s="38"/>
      <c r="K76" s="38"/>
      <c r="L76" s="38">
        <v>20</v>
      </c>
      <c r="M76" s="38"/>
      <c r="N76" s="38"/>
      <c r="O76" s="38"/>
      <c r="P76" s="38"/>
      <c r="Q76" s="38"/>
      <c r="R76" s="38"/>
      <c r="S76" s="38"/>
      <c r="T76" s="42"/>
    </row>
    <row r="77" spans="1:20" ht="15.75">
      <c r="A77" s="43" t="s">
        <v>223</v>
      </c>
      <c r="B77" s="39"/>
      <c r="C77" s="40" t="s">
        <v>227</v>
      </c>
      <c r="D77" s="35"/>
      <c r="E77" s="35"/>
      <c r="F77" s="46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42"/>
    </row>
    <row r="78" spans="1:20" ht="78.75">
      <c r="A78" s="76" t="s">
        <v>20</v>
      </c>
      <c r="B78" s="76" t="s">
        <v>263</v>
      </c>
      <c r="C78" s="65" t="s">
        <v>188</v>
      </c>
      <c r="D78" s="76"/>
      <c r="E78" s="76"/>
      <c r="F78" s="65"/>
      <c r="G78" s="77">
        <f>SUM(G79:G92)</f>
        <v>1236.048</v>
      </c>
      <c r="H78" s="77">
        <f aca="true" t="shared" si="11" ref="H78:S78">SUM(H79:H92)</f>
        <v>0</v>
      </c>
      <c r="I78" s="77">
        <f t="shared" si="11"/>
        <v>0</v>
      </c>
      <c r="J78" s="77">
        <f t="shared" si="11"/>
        <v>20.273</v>
      </c>
      <c r="K78" s="77">
        <f t="shared" si="11"/>
        <v>0</v>
      </c>
      <c r="L78" s="77">
        <f t="shared" si="11"/>
        <v>25.775</v>
      </c>
      <c r="M78" s="77"/>
      <c r="N78" s="77">
        <f t="shared" si="11"/>
        <v>0</v>
      </c>
      <c r="O78" s="77">
        <f t="shared" si="11"/>
        <v>0</v>
      </c>
      <c r="P78" s="77">
        <f t="shared" si="11"/>
        <v>0</v>
      </c>
      <c r="Q78" s="77">
        <f t="shared" si="11"/>
        <v>1190</v>
      </c>
      <c r="R78" s="77">
        <f t="shared" si="11"/>
        <v>0</v>
      </c>
      <c r="S78" s="77">
        <f t="shared" si="11"/>
        <v>0</v>
      </c>
      <c r="T78" s="42"/>
    </row>
    <row r="79" spans="1:20" ht="47.25">
      <c r="A79" s="76" t="s">
        <v>207</v>
      </c>
      <c r="B79" s="76"/>
      <c r="C79" s="65" t="s">
        <v>194</v>
      </c>
      <c r="D79" s="76" t="s">
        <v>237</v>
      </c>
      <c r="E79" s="76" t="s">
        <v>239</v>
      </c>
      <c r="F79" s="76" t="s">
        <v>107</v>
      </c>
      <c r="G79" s="83">
        <f>SUM(H79:S79)</f>
        <v>0</v>
      </c>
      <c r="H79" s="78"/>
      <c r="I79" s="78"/>
      <c r="J79" s="78"/>
      <c r="K79" s="78"/>
      <c r="L79" s="82">
        <v>0</v>
      </c>
      <c r="M79" s="78"/>
      <c r="N79" s="79"/>
      <c r="O79" s="78"/>
      <c r="P79" s="78"/>
      <c r="Q79" s="82">
        <v>0</v>
      </c>
      <c r="R79" s="79"/>
      <c r="S79" s="78"/>
      <c r="T79" s="42"/>
    </row>
    <row r="80" spans="1:20" ht="47.25">
      <c r="A80" s="76" t="s">
        <v>208</v>
      </c>
      <c r="B80" s="76"/>
      <c r="C80" s="65" t="s">
        <v>195</v>
      </c>
      <c r="D80" s="76" t="s">
        <v>237</v>
      </c>
      <c r="E80" s="76" t="s">
        <v>239</v>
      </c>
      <c r="F80" s="76" t="s">
        <v>164</v>
      </c>
      <c r="G80" s="66">
        <f aca="true" t="shared" si="12" ref="G80:G92">SUM(H80:S80)</f>
        <v>290</v>
      </c>
      <c r="H80" s="78"/>
      <c r="I80" s="78"/>
      <c r="J80" s="78"/>
      <c r="K80" s="78"/>
      <c r="L80" s="78"/>
      <c r="M80" s="78"/>
      <c r="N80" s="79"/>
      <c r="O80" s="78"/>
      <c r="P80" s="78"/>
      <c r="Q80" s="78">
        <v>290</v>
      </c>
      <c r="R80" s="78"/>
      <c r="S80" s="78"/>
      <c r="T80" s="42"/>
    </row>
    <row r="81" spans="1:20" ht="63">
      <c r="A81" s="76" t="s">
        <v>209</v>
      </c>
      <c r="B81" s="76"/>
      <c r="C81" s="65" t="s">
        <v>196</v>
      </c>
      <c r="D81" s="76" t="s">
        <v>237</v>
      </c>
      <c r="E81" s="76" t="s">
        <v>239</v>
      </c>
      <c r="F81" s="76" t="s">
        <v>165</v>
      </c>
      <c r="G81" s="83">
        <f t="shared" si="12"/>
        <v>16.475</v>
      </c>
      <c r="H81" s="78"/>
      <c r="I81" s="78"/>
      <c r="J81" s="82">
        <f>22-13.175</f>
        <v>8.825</v>
      </c>
      <c r="K81" s="79"/>
      <c r="L81" s="82">
        <f>20-12.35</f>
        <v>7.65</v>
      </c>
      <c r="M81" s="78"/>
      <c r="N81" s="79"/>
      <c r="O81" s="78"/>
      <c r="P81" s="78"/>
      <c r="Q81" s="78"/>
      <c r="R81" s="78"/>
      <c r="S81" s="78"/>
      <c r="T81" s="42"/>
    </row>
    <row r="82" spans="1:20" ht="47.25">
      <c r="A82" s="76" t="s">
        <v>210</v>
      </c>
      <c r="B82" s="76"/>
      <c r="C82" s="65" t="s">
        <v>197</v>
      </c>
      <c r="D82" s="76" t="s">
        <v>237</v>
      </c>
      <c r="E82" s="76" t="s">
        <v>239</v>
      </c>
      <c r="F82" s="76" t="s">
        <v>166</v>
      </c>
      <c r="G82" s="83">
        <f t="shared" si="12"/>
        <v>29.573</v>
      </c>
      <c r="H82" s="78"/>
      <c r="I82" s="78"/>
      <c r="J82" s="82">
        <f>23-11.552</f>
        <v>11.448</v>
      </c>
      <c r="K82" s="79"/>
      <c r="L82" s="82">
        <f>20-1.875</f>
        <v>18.125</v>
      </c>
      <c r="M82" s="78"/>
      <c r="N82" s="79"/>
      <c r="O82" s="78"/>
      <c r="P82" s="78"/>
      <c r="Q82" s="78"/>
      <c r="R82" s="78"/>
      <c r="S82" s="78"/>
      <c r="T82" s="42"/>
    </row>
    <row r="83" spans="1:20" ht="63">
      <c r="A83" s="76" t="s">
        <v>211</v>
      </c>
      <c r="B83" s="76"/>
      <c r="C83" s="65" t="s">
        <v>198</v>
      </c>
      <c r="D83" s="76" t="s">
        <v>237</v>
      </c>
      <c r="E83" s="76" t="s">
        <v>239</v>
      </c>
      <c r="F83" s="76" t="s">
        <v>167</v>
      </c>
      <c r="G83" s="66">
        <f t="shared" si="12"/>
        <v>90</v>
      </c>
      <c r="H83" s="78"/>
      <c r="I83" s="78"/>
      <c r="J83" s="78"/>
      <c r="K83" s="78"/>
      <c r="L83" s="78"/>
      <c r="M83" s="78"/>
      <c r="N83" s="79"/>
      <c r="O83" s="78"/>
      <c r="P83" s="78"/>
      <c r="Q83" s="78">
        <v>90</v>
      </c>
      <c r="R83" s="78"/>
      <c r="S83" s="78"/>
      <c r="T83" s="42"/>
    </row>
    <row r="84" spans="1:20" ht="47.25">
      <c r="A84" s="76" t="s">
        <v>212</v>
      </c>
      <c r="B84" s="76"/>
      <c r="C84" s="65" t="s">
        <v>199</v>
      </c>
      <c r="D84" s="76" t="s">
        <v>237</v>
      </c>
      <c r="E84" s="76" t="s">
        <v>239</v>
      </c>
      <c r="F84" s="76" t="s">
        <v>168</v>
      </c>
      <c r="G84" s="66">
        <f t="shared" si="12"/>
        <v>60</v>
      </c>
      <c r="H84" s="78"/>
      <c r="I84" s="78"/>
      <c r="J84" s="78"/>
      <c r="K84" s="78"/>
      <c r="L84" s="78"/>
      <c r="M84" s="78"/>
      <c r="N84" s="79"/>
      <c r="O84" s="78"/>
      <c r="P84" s="78"/>
      <c r="Q84" s="78">
        <v>60</v>
      </c>
      <c r="R84" s="78"/>
      <c r="S84" s="78"/>
      <c r="T84" s="42"/>
    </row>
    <row r="85" spans="1:20" ht="47.25">
      <c r="A85" s="76" t="s">
        <v>213</v>
      </c>
      <c r="B85" s="76"/>
      <c r="C85" s="65" t="s">
        <v>232</v>
      </c>
      <c r="D85" s="76" t="s">
        <v>237</v>
      </c>
      <c r="E85" s="76" t="s">
        <v>239</v>
      </c>
      <c r="F85" s="76" t="s">
        <v>164</v>
      </c>
      <c r="G85" s="66">
        <f t="shared" si="12"/>
        <v>117.056</v>
      </c>
      <c r="H85" s="78"/>
      <c r="I85" s="78"/>
      <c r="J85" s="78"/>
      <c r="K85" s="78"/>
      <c r="L85" s="78"/>
      <c r="M85" s="78"/>
      <c r="N85" s="79"/>
      <c r="O85" s="78"/>
      <c r="P85" s="78"/>
      <c r="Q85" s="78">
        <v>117.056</v>
      </c>
      <c r="R85" s="78"/>
      <c r="S85" s="78"/>
      <c r="T85" s="42"/>
    </row>
    <row r="86" spans="1:20" ht="47.25">
      <c r="A86" s="81" t="s">
        <v>214</v>
      </c>
      <c r="B86" s="76"/>
      <c r="C86" s="65" t="s">
        <v>233</v>
      </c>
      <c r="D86" s="76" t="s">
        <v>237</v>
      </c>
      <c r="E86" s="76" t="s">
        <v>239</v>
      </c>
      <c r="F86" s="76" t="s">
        <v>169</v>
      </c>
      <c r="G86" s="83">
        <f t="shared" si="12"/>
        <v>103.8</v>
      </c>
      <c r="H86" s="78"/>
      <c r="I86" s="78"/>
      <c r="J86" s="78"/>
      <c r="K86" s="78"/>
      <c r="L86" s="78"/>
      <c r="M86" s="78"/>
      <c r="N86" s="79"/>
      <c r="O86" s="78"/>
      <c r="P86" s="78"/>
      <c r="Q86" s="82">
        <f>50+53.8</f>
        <v>103.8</v>
      </c>
      <c r="R86" s="78"/>
      <c r="S86" s="78"/>
      <c r="T86" s="42"/>
    </row>
    <row r="87" spans="1:20" ht="47.25">
      <c r="A87" s="76" t="s">
        <v>215</v>
      </c>
      <c r="B87" s="76"/>
      <c r="C87" s="65" t="s">
        <v>234</v>
      </c>
      <c r="D87" s="76" t="s">
        <v>237</v>
      </c>
      <c r="E87" s="76" t="s">
        <v>239</v>
      </c>
      <c r="F87" s="76" t="s">
        <v>169</v>
      </c>
      <c r="G87" s="66">
        <f t="shared" si="12"/>
        <v>237.944</v>
      </c>
      <c r="H87" s="78"/>
      <c r="I87" s="78"/>
      <c r="J87" s="78"/>
      <c r="K87" s="78"/>
      <c r="L87" s="78"/>
      <c r="M87" s="78"/>
      <c r="N87" s="79"/>
      <c r="O87" s="78"/>
      <c r="P87" s="78"/>
      <c r="Q87" s="78">
        <v>237.944</v>
      </c>
      <c r="R87" s="78"/>
      <c r="S87" s="78"/>
      <c r="T87" s="42"/>
    </row>
    <row r="88" spans="1:20" s="29" customFormat="1" ht="47.25">
      <c r="A88" s="76" t="s">
        <v>216</v>
      </c>
      <c r="B88" s="76"/>
      <c r="C88" s="80" t="s">
        <v>200</v>
      </c>
      <c r="D88" s="76" t="s">
        <v>237</v>
      </c>
      <c r="E88" s="76" t="s">
        <v>239</v>
      </c>
      <c r="F88" s="76" t="s">
        <v>168</v>
      </c>
      <c r="G88" s="66">
        <f t="shared" si="12"/>
        <v>90</v>
      </c>
      <c r="H88" s="78"/>
      <c r="I88" s="78"/>
      <c r="J88" s="78"/>
      <c r="K88" s="78"/>
      <c r="L88" s="78"/>
      <c r="M88" s="78"/>
      <c r="N88" s="79"/>
      <c r="O88" s="78"/>
      <c r="P88" s="78"/>
      <c r="Q88" s="78">
        <v>90</v>
      </c>
      <c r="R88" s="78"/>
      <c r="S88" s="78"/>
      <c r="T88" s="59"/>
    </row>
    <row r="89" spans="1:20" s="29" customFormat="1" ht="47.25">
      <c r="A89" s="76" t="s">
        <v>217</v>
      </c>
      <c r="B89" s="76"/>
      <c r="C89" s="80" t="s">
        <v>235</v>
      </c>
      <c r="D89" s="76" t="s">
        <v>237</v>
      </c>
      <c r="E89" s="76" t="s">
        <v>239</v>
      </c>
      <c r="F89" s="76" t="s">
        <v>170</v>
      </c>
      <c r="G89" s="66">
        <f>SUM(H89:S89)</f>
        <v>45</v>
      </c>
      <c r="H89" s="78"/>
      <c r="I89" s="78"/>
      <c r="J89" s="78"/>
      <c r="K89" s="78"/>
      <c r="L89" s="78"/>
      <c r="M89" s="78"/>
      <c r="N89" s="79"/>
      <c r="O89" s="78"/>
      <c r="P89" s="78"/>
      <c r="Q89" s="78">
        <v>45</v>
      </c>
      <c r="R89" s="78"/>
      <c r="S89" s="78"/>
      <c r="T89" s="59"/>
    </row>
    <row r="90" spans="1:20" s="29" customFormat="1" ht="47.25">
      <c r="A90" s="81" t="s">
        <v>218</v>
      </c>
      <c r="B90" s="76"/>
      <c r="C90" s="80" t="s">
        <v>201</v>
      </c>
      <c r="D90" s="76" t="s">
        <v>237</v>
      </c>
      <c r="E90" s="76" t="s">
        <v>239</v>
      </c>
      <c r="F90" s="76" t="s">
        <v>144</v>
      </c>
      <c r="G90" s="83">
        <f t="shared" si="12"/>
        <v>58.8</v>
      </c>
      <c r="H90" s="78"/>
      <c r="I90" s="78"/>
      <c r="J90" s="78"/>
      <c r="K90" s="78"/>
      <c r="L90" s="78"/>
      <c r="M90" s="78"/>
      <c r="N90" s="79"/>
      <c r="O90" s="78"/>
      <c r="P90" s="78"/>
      <c r="Q90" s="82">
        <f>80-21.2</f>
        <v>58.8</v>
      </c>
      <c r="R90" s="78"/>
      <c r="S90" s="78"/>
      <c r="T90" s="59"/>
    </row>
    <row r="91" spans="1:20" s="29" customFormat="1" ht="47.25">
      <c r="A91" s="81" t="s">
        <v>219</v>
      </c>
      <c r="B91" s="76"/>
      <c r="C91" s="80" t="s">
        <v>202</v>
      </c>
      <c r="D91" s="76" t="s">
        <v>237</v>
      </c>
      <c r="E91" s="76" t="s">
        <v>239</v>
      </c>
      <c r="F91" s="76" t="s">
        <v>144</v>
      </c>
      <c r="G91" s="83">
        <f t="shared" si="12"/>
        <v>47.4</v>
      </c>
      <c r="H91" s="78"/>
      <c r="I91" s="78"/>
      <c r="J91" s="78"/>
      <c r="K91" s="78"/>
      <c r="L91" s="78"/>
      <c r="M91" s="78"/>
      <c r="N91" s="79"/>
      <c r="O91" s="78"/>
      <c r="P91" s="78"/>
      <c r="Q91" s="82">
        <f>80-32.6</f>
        <v>47.4</v>
      </c>
      <c r="R91" s="78"/>
      <c r="S91" s="78"/>
      <c r="T91" s="59"/>
    </row>
    <row r="92" spans="1:20" s="29" customFormat="1" ht="63">
      <c r="A92" s="76" t="s">
        <v>220</v>
      </c>
      <c r="B92" s="76"/>
      <c r="C92" s="80" t="s">
        <v>236</v>
      </c>
      <c r="D92" s="76" t="s">
        <v>237</v>
      </c>
      <c r="E92" s="76" t="s">
        <v>239</v>
      </c>
      <c r="F92" s="76" t="s">
        <v>171</v>
      </c>
      <c r="G92" s="66">
        <f t="shared" si="12"/>
        <v>50</v>
      </c>
      <c r="H92" s="78"/>
      <c r="I92" s="78"/>
      <c r="J92" s="78"/>
      <c r="K92" s="79"/>
      <c r="L92" s="78"/>
      <c r="M92" s="78"/>
      <c r="N92" s="79"/>
      <c r="O92" s="79"/>
      <c r="P92" s="78"/>
      <c r="Q92" s="78">
        <v>50</v>
      </c>
      <c r="R92" s="78"/>
      <c r="S92" s="78"/>
      <c r="T92" s="59"/>
    </row>
    <row r="93" spans="1:20" s="29" customFormat="1" ht="15.75">
      <c r="A93" s="43" t="s">
        <v>223</v>
      </c>
      <c r="B93" s="39"/>
      <c r="C93" s="40" t="s">
        <v>227</v>
      </c>
      <c r="D93" s="35"/>
      <c r="E93" s="35"/>
      <c r="F93" s="35"/>
      <c r="G93" s="38"/>
      <c r="H93" s="51"/>
      <c r="I93" s="51"/>
      <c r="J93" s="51"/>
      <c r="K93" s="58"/>
      <c r="L93" s="51"/>
      <c r="M93" s="51"/>
      <c r="N93" s="58"/>
      <c r="O93" s="58"/>
      <c r="P93" s="51"/>
      <c r="Q93" s="51"/>
      <c r="R93" s="51"/>
      <c r="S93" s="51"/>
      <c r="T93" s="59"/>
    </row>
    <row r="94" spans="1:20" ht="63">
      <c r="A94" s="35" t="s">
        <v>16</v>
      </c>
      <c r="B94" s="35" t="s">
        <v>264</v>
      </c>
      <c r="C94" s="46" t="s">
        <v>183</v>
      </c>
      <c r="D94" s="35" t="s">
        <v>237</v>
      </c>
      <c r="E94" s="51"/>
      <c r="F94" s="35" t="s">
        <v>167</v>
      </c>
      <c r="G94" s="48">
        <v>135</v>
      </c>
      <c r="H94" s="38"/>
      <c r="I94" s="38"/>
      <c r="J94" s="38"/>
      <c r="K94" s="38"/>
      <c r="L94" s="38"/>
      <c r="M94" s="38"/>
      <c r="N94" s="38"/>
      <c r="O94" s="38"/>
      <c r="P94" s="38"/>
      <c r="Q94" s="38">
        <v>135</v>
      </c>
      <c r="R94" s="38"/>
      <c r="S94" s="38"/>
      <c r="T94" s="42"/>
    </row>
    <row r="95" spans="1:20" s="29" customFormat="1" ht="15.75">
      <c r="A95" s="43" t="s">
        <v>223</v>
      </c>
      <c r="B95" s="39"/>
      <c r="C95" s="40" t="s">
        <v>283</v>
      </c>
      <c r="D95" s="35"/>
      <c r="E95" s="35"/>
      <c r="F95" s="35"/>
      <c r="G95" s="38"/>
      <c r="H95" s="51"/>
      <c r="I95" s="51"/>
      <c r="J95" s="51"/>
      <c r="K95" s="58"/>
      <c r="L95" s="51"/>
      <c r="M95" s="51"/>
      <c r="N95" s="58"/>
      <c r="O95" s="58"/>
      <c r="P95" s="51"/>
      <c r="Q95" s="51"/>
      <c r="R95" s="51"/>
      <c r="S95" s="51"/>
      <c r="T95" s="59"/>
    </row>
    <row r="96" spans="1:20" ht="252">
      <c r="A96" s="35" t="s">
        <v>12</v>
      </c>
      <c r="B96" s="35"/>
      <c r="C96" s="46" t="s">
        <v>189</v>
      </c>
      <c r="D96" s="35" t="s">
        <v>222</v>
      </c>
      <c r="E96" s="35"/>
      <c r="F96" s="46" t="s">
        <v>284</v>
      </c>
      <c r="G96" s="48">
        <v>448</v>
      </c>
      <c r="H96" s="38"/>
      <c r="I96" s="38"/>
      <c r="J96" s="38"/>
      <c r="K96" s="38"/>
      <c r="L96" s="38"/>
      <c r="M96" s="38"/>
      <c r="N96" s="38"/>
      <c r="O96" s="38"/>
      <c r="P96" s="38"/>
      <c r="Q96" s="38">
        <v>448</v>
      </c>
      <c r="R96" s="38"/>
      <c r="S96" s="38"/>
      <c r="T96" s="42"/>
    </row>
    <row r="97" spans="1:20" s="29" customFormat="1" ht="15.75">
      <c r="A97" s="43" t="s">
        <v>223</v>
      </c>
      <c r="B97" s="39"/>
      <c r="C97" s="40" t="s">
        <v>285</v>
      </c>
      <c r="D97" s="35"/>
      <c r="E97" s="35"/>
      <c r="F97" s="35"/>
      <c r="G97" s="38"/>
      <c r="H97" s="51"/>
      <c r="I97" s="51"/>
      <c r="J97" s="51"/>
      <c r="K97" s="58"/>
      <c r="L97" s="51"/>
      <c r="M97" s="51"/>
      <c r="N97" s="58"/>
      <c r="O97" s="58"/>
      <c r="P97" s="51"/>
      <c r="Q97" s="51"/>
      <c r="R97" s="51"/>
      <c r="S97" s="51"/>
      <c r="T97" s="59"/>
    </row>
    <row r="98" spans="1:20" ht="15.75">
      <c r="A98" s="35" t="s">
        <v>9</v>
      </c>
      <c r="B98" s="35"/>
      <c r="C98" s="60" t="s">
        <v>190</v>
      </c>
      <c r="D98" s="35" t="s">
        <v>222</v>
      </c>
      <c r="E98" s="35"/>
      <c r="F98" s="46"/>
      <c r="G98" s="48">
        <v>1000</v>
      </c>
      <c r="H98" s="38"/>
      <c r="I98" s="38"/>
      <c r="J98" s="38"/>
      <c r="K98" s="38"/>
      <c r="L98" s="38"/>
      <c r="M98" s="38"/>
      <c r="N98" s="38"/>
      <c r="O98" s="38"/>
      <c r="P98" s="38"/>
      <c r="Q98" s="38">
        <v>1000</v>
      </c>
      <c r="R98" s="38"/>
      <c r="S98" s="38"/>
      <c r="T98" s="42"/>
    </row>
    <row r="99" spans="1:20" ht="15.75">
      <c r="A99" s="43" t="s">
        <v>223</v>
      </c>
      <c r="B99" s="35"/>
      <c r="C99" s="40" t="s">
        <v>274</v>
      </c>
      <c r="D99" s="35"/>
      <c r="E99" s="35"/>
      <c r="F99" s="46"/>
      <c r="G99" s="48">
        <f>SUM(G100:G118)</f>
        <v>71679.381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42"/>
    </row>
    <row r="100" spans="1:20" ht="47.25" customHeight="1">
      <c r="A100" s="35" t="s">
        <v>273</v>
      </c>
      <c r="B100" s="35" t="s">
        <v>275</v>
      </c>
      <c r="C100" s="46" t="s">
        <v>272</v>
      </c>
      <c r="D100" s="61" t="s">
        <v>276</v>
      </c>
      <c r="E100" s="35"/>
      <c r="F100" s="46"/>
      <c r="G100" s="32">
        <f>Q100</f>
        <v>2639.6000000000004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3">
        <f>2556.8+82.8</f>
        <v>2639.6000000000004</v>
      </c>
      <c r="R100" s="38"/>
      <c r="S100" s="38"/>
      <c r="T100" s="42"/>
    </row>
    <row r="101" spans="1:20" ht="62.25" customHeight="1">
      <c r="A101" s="35"/>
      <c r="B101" s="35"/>
      <c r="C101" s="46" t="s">
        <v>272</v>
      </c>
      <c r="D101" s="61" t="s">
        <v>147</v>
      </c>
      <c r="E101" s="35"/>
      <c r="F101" s="46"/>
      <c r="G101" s="84">
        <f aca="true" t="shared" si="13" ref="G101:G118">Q101</f>
        <v>1869.828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84">
        <f>3030.7+645.84-1806.712</f>
        <v>1869.828</v>
      </c>
      <c r="R101" s="38"/>
      <c r="S101" s="38"/>
      <c r="T101" s="42"/>
    </row>
    <row r="102" spans="1:20" ht="62.25" customHeight="1">
      <c r="A102" s="35"/>
      <c r="B102" s="35"/>
      <c r="C102" s="46" t="s">
        <v>272</v>
      </c>
      <c r="D102" s="61" t="s">
        <v>150</v>
      </c>
      <c r="E102" s="35"/>
      <c r="F102" s="46"/>
      <c r="G102" s="84">
        <f t="shared" si="13"/>
        <v>5291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84">
        <f>6755.8+745.2-2210</f>
        <v>5291</v>
      </c>
      <c r="R102" s="38"/>
      <c r="S102" s="38"/>
      <c r="T102" s="42"/>
    </row>
    <row r="103" spans="1:20" ht="62.25" customHeight="1">
      <c r="A103" s="35"/>
      <c r="B103" s="35"/>
      <c r="C103" s="46" t="s">
        <v>272</v>
      </c>
      <c r="D103" s="61" t="s">
        <v>146</v>
      </c>
      <c r="E103" s="35"/>
      <c r="F103" s="46"/>
      <c r="G103" s="84">
        <f t="shared" si="13"/>
        <v>5860.86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84">
        <f>6105.5+1755.36-2000</f>
        <v>5860.86</v>
      </c>
      <c r="R103" s="38"/>
      <c r="S103" s="38"/>
      <c r="T103" s="42"/>
    </row>
    <row r="104" spans="1:20" ht="62.25" customHeight="1">
      <c r="A104" s="35"/>
      <c r="B104" s="35"/>
      <c r="C104" s="46" t="s">
        <v>272</v>
      </c>
      <c r="D104" s="61" t="s">
        <v>153</v>
      </c>
      <c r="E104" s="35"/>
      <c r="F104" s="46"/>
      <c r="G104" s="84">
        <f t="shared" si="13"/>
        <v>3015.78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84">
        <f>3140.9+794.88-920</f>
        <v>3015.78</v>
      </c>
      <c r="R104" s="38"/>
      <c r="S104" s="38"/>
      <c r="T104" s="42"/>
    </row>
    <row r="105" spans="1:20" ht="62.25" customHeight="1">
      <c r="A105" s="35"/>
      <c r="B105" s="35"/>
      <c r="C105" s="46" t="s">
        <v>272</v>
      </c>
      <c r="D105" s="61" t="s">
        <v>154</v>
      </c>
      <c r="E105" s="35"/>
      <c r="F105" s="46"/>
      <c r="G105" s="84">
        <f t="shared" si="13"/>
        <v>2954.84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84">
        <f>3440.6+894.24-1380</f>
        <v>2954.84</v>
      </c>
      <c r="R105" s="38"/>
      <c r="S105" s="38"/>
      <c r="T105" s="42"/>
    </row>
    <row r="106" spans="1:20" ht="62.25" customHeight="1">
      <c r="A106" s="35"/>
      <c r="B106" s="35"/>
      <c r="C106" s="46" t="s">
        <v>272</v>
      </c>
      <c r="D106" s="61" t="s">
        <v>148</v>
      </c>
      <c r="E106" s="35"/>
      <c r="F106" s="46"/>
      <c r="G106" s="84">
        <f t="shared" si="13"/>
        <v>3830.08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84">
        <f>5069.6+960.48-2200</f>
        <v>3830.08</v>
      </c>
      <c r="R106" s="38"/>
      <c r="S106" s="38"/>
      <c r="T106" s="42"/>
    </row>
    <row r="107" spans="1:20" ht="62.25" customHeight="1">
      <c r="A107" s="35"/>
      <c r="B107" s="35"/>
      <c r="C107" s="46" t="s">
        <v>272</v>
      </c>
      <c r="D107" s="61" t="s">
        <v>155</v>
      </c>
      <c r="E107" s="35"/>
      <c r="F107" s="46"/>
      <c r="G107" s="84">
        <f t="shared" si="13"/>
        <v>1941.577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84">
        <f>2821.3+182.16-1061.883</f>
        <v>1941.577</v>
      </c>
      <c r="R107" s="38"/>
      <c r="S107" s="38"/>
      <c r="T107" s="42"/>
    </row>
    <row r="108" spans="1:20" ht="62.25" customHeight="1">
      <c r="A108" s="35"/>
      <c r="B108" s="35"/>
      <c r="C108" s="46" t="s">
        <v>272</v>
      </c>
      <c r="D108" s="61" t="s">
        <v>152</v>
      </c>
      <c r="E108" s="35"/>
      <c r="F108" s="46"/>
      <c r="G108" s="84">
        <f t="shared" si="13"/>
        <v>3992.8459999999995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84">
        <f>4375.3+397.44-779.894</f>
        <v>3992.8459999999995</v>
      </c>
      <c r="R108" s="38"/>
      <c r="S108" s="38"/>
      <c r="T108" s="42"/>
    </row>
    <row r="109" spans="1:20" ht="78.75" customHeight="1">
      <c r="A109" s="35"/>
      <c r="B109" s="35"/>
      <c r="C109" s="46" t="s">
        <v>272</v>
      </c>
      <c r="D109" s="61" t="s">
        <v>151</v>
      </c>
      <c r="E109" s="35"/>
      <c r="F109" s="46"/>
      <c r="G109" s="84">
        <f t="shared" si="13"/>
        <v>5667.6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84">
        <f>5069.6+828-230</f>
        <v>5667.6</v>
      </c>
      <c r="R109" s="38"/>
      <c r="S109" s="38"/>
      <c r="T109" s="42"/>
    </row>
    <row r="110" spans="1:20" ht="78.75" customHeight="1">
      <c r="A110" s="62"/>
      <c r="B110" s="62"/>
      <c r="C110" s="46" t="s">
        <v>272</v>
      </c>
      <c r="D110" s="61" t="s">
        <v>157</v>
      </c>
      <c r="E110" s="35"/>
      <c r="F110" s="46"/>
      <c r="G110" s="84">
        <f t="shared" si="13"/>
        <v>1883.04</v>
      </c>
      <c r="H110" s="63"/>
      <c r="I110" s="63"/>
      <c r="J110" s="63"/>
      <c r="K110" s="63"/>
      <c r="L110" s="63"/>
      <c r="M110" s="63"/>
      <c r="N110" s="63"/>
      <c r="O110" s="63"/>
      <c r="P110" s="63"/>
      <c r="Q110" s="84">
        <f>1612.8+480.24-210</f>
        <v>1883.04</v>
      </c>
      <c r="R110" s="63"/>
      <c r="S110" s="63"/>
      <c r="T110" s="42"/>
    </row>
    <row r="111" spans="1:20" ht="78.75" customHeight="1">
      <c r="A111" s="62"/>
      <c r="B111" s="62"/>
      <c r="C111" s="46" t="s">
        <v>272</v>
      </c>
      <c r="D111" s="61" t="s">
        <v>156</v>
      </c>
      <c r="E111" s="35"/>
      <c r="F111" s="46"/>
      <c r="G111" s="84">
        <f t="shared" si="13"/>
        <v>7470</v>
      </c>
      <c r="H111" s="63"/>
      <c r="I111" s="63"/>
      <c r="J111" s="63"/>
      <c r="K111" s="63"/>
      <c r="L111" s="63"/>
      <c r="M111" s="63"/>
      <c r="N111" s="63"/>
      <c r="O111" s="63"/>
      <c r="P111" s="63"/>
      <c r="Q111" s="84">
        <f>11256+993.6-4779.6</f>
        <v>7470</v>
      </c>
      <c r="R111" s="63"/>
      <c r="S111" s="63"/>
      <c r="T111" s="42"/>
    </row>
    <row r="112" spans="1:20" ht="78.75" customHeight="1">
      <c r="A112" s="62"/>
      <c r="B112" s="62"/>
      <c r="C112" s="46" t="s">
        <v>272</v>
      </c>
      <c r="D112" s="61" t="s">
        <v>149</v>
      </c>
      <c r="E112" s="35"/>
      <c r="F112" s="46"/>
      <c r="G112" s="84">
        <f t="shared" si="13"/>
        <v>2300</v>
      </c>
      <c r="H112" s="63"/>
      <c r="I112" s="63"/>
      <c r="J112" s="63"/>
      <c r="K112" s="63"/>
      <c r="L112" s="63"/>
      <c r="M112" s="63"/>
      <c r="N112" s="63"/>
      <c r="O112" s="63"/>
      <c r="P112" s="63"/>
      <c r="Q112" s="84">
        <f>2733.2+298.08-731.28</f>
        <v>2300</v>
      </c>
      <c r="R112" s="63"/>
      <c r="S112" s="63"/>
      <c r="T112" s="42"/>
    </row>
    <row r="113" spans="1:20" ht="78.75" customHeight="1">
      <c r="A113" s="62"/>
      <c r="B113" s="62"/>
      <c r="C113" s="46" t="s">
        <v>272</v>
      </c>
      <c r="D113" s="61" t="s">
        <v>277</v>
      </c>
      <c r="E113" s="35"/>
      <c r="F113" s="46"/>
      <c r="G113" s="84">
        <f t="shared" si="13"/>
        <v>2143.56</v>
      </c>
      <c r="H113" s="63"/>
      <c r="I113" s="63"/>
      <c r="J113" s="63"/>
      <c r="K113" s="63"/>
      <c r="L113" s="63"/>
      <c r="M113" s="63"/>
      <c r="N113" s="63"/>
      <c r="O113" s="63"/>
      <c r="P113" s="63"/>
      <c r="Q113" s="84">
        <f>2744.2+99.36-700</f>
        <v>2143.56</v>
      </c>
      <c r="R113" s="63"/>
      <c r="S113" s="63"/>
      <c r="T113" s="42"/>
    </row>
    <row r="114" spans="1:20" ht="78.75" customHeight="1">
      <c r="A114" s="62"/>
      <c r="B114" s="62"/>
      <c r="C114" s="46" t="s">
        <v>272</v>
      </c>
      <c r="D114" s="61" t="s">
        <v>172</v>
      </c>
      <c r="E114" s="35"/>
      <c r="F114" s="46"/>
      <c r="G114" s="84">
        <f t="shared" si="13"/>
        <v>5281.34</v>
      </c>
      <c r="H114" s="63"/>
      <c r="I114" s="63"/>
      <c r="J114" s="63"/>
      <c r="K114" s="63"/>
      <c r="L114" s="63"/>
      <c r="M114" s="63"/>
      <c r="N114" s="63"/>
      <c r="O114" s="63"/>
      <c r="P114" s="63"/>
      <c r="Q114" s="84">
        <f>9367.7+728.64-4815</f>
        <v>5281.34</v>
      </c>
      <c r="R114" s="63"/>
      <c r="S114" s="63"/>
      <c r="T114" s="42"/>
    </row>
    <row r="115" spans="1:20" ht="78.75" customHeight="1">
      <c r="A115" s="62"/>
      <c r="B115" s="62"/>
      <c r="C115" s="46" t="s">
        <v>272</v>
      </c>
      <c r="D115" s="61" t="s">
        <v>279</v>
      </c>
      <c r="E115" s="35"/>
      <c r="F115" s="46"/>
      <c r="G115" s="68">
        <f t="shared" si="13"/>
        <v>1419.9609400000002</v>
      </c>
      <c r="H115" s="63"/>
      <c r="I115" s="63"/>
      <c r="J115" s="63"/>
      <c r="K115" s="63"/>
      <c r="L115" s="63"/>
      <c r="M115" s="63"/>
      <c r="N115" s="63"/>
      <c r="O115" s="63"/>
      <c r="P115" s="63"/>
      <c r="Q115" s="67">
        <f>3025.8+248.4-1854.23906</f>
        <v>1419.9609400000002</v>
      </c>
      <c r="R115" s="63"/>
      <c r="S115" s="63"/>
      <c r="T115" s="42"/>
    </row>
    <row r="116" spans="1:20" ht="78.75" customHeight="1">
      <c r="A116" s="62"/>
      <c r="B116" s="62"/>
      <c r="C116" s="46" t="s">
        <v>272</v>
      </c>
      <c r="D116" s="61" t="s">
        <v>280</v>
      </c>
      <c r="E116" s="35"/>
      <c r="F116" s="46"/>
      <c r="G116" s="68">
        <f t="shared" si="13"/>
        <v>8213.67906</v>
      </c>
      <c r="H116" s="63"/>
      <c r="I116" s="63"/>
      <c r="J116" s="63"/>
      <c r="K116" s="63"/>
      <c r="L116" s="63"/>
      <c r="M116" s="63"/>
      <c r="N116" s="63"/>
      <c r="O116" s="63"/>
      <c r="P116" s="63"/>
      <c r="Q116" s="67">
        <f>6127.6+231.84+1854.23906</f>
        <v>8213.67906</v>
      </c>
      <c r="R116" s="63"/>
      <c r="S116" s="63"/>
      <c r="T116" s="42"/>
    </row>
    <row r="117" spans="1:20" ht="78.75" customHeight="1">
      <c r="A117" s="62"/>
      <c r="B117" s="62"/>
      <c r="C117" s="46" t="s">
        <v>272</v>
      </c>
      <c r="D117" s="61" t="s">
        <v>281</v>
      </c>
      <c r="E117" s="35"/>
      <c r="F117" s="46"/>
      <c r="G117" s="84">
        <f t="shared" si="13"/>
        <v>1633.95</v>
      </c>
      <c r="H117" s="63"/>
      <c r="I117" s="63"/>
      <c r="J117" s="63"/>
      <c r="K117" s="63"/>
      <c r="L117" s="63"/>
      <c r="M117" s="63"/>
      <c r="N117" s="63"/>
      <c r="O117" s="63"/>
      <c r="P117" s="63"/>
      <c r="Q117" s="84">
        <f>1719.2+165.6-250.85</f>
        <v>1633.95</v>
      </c>
      <c r="R117" s="63"/>
      <c r="S117" s="63"/>
      <c r="T117" s="42"/>
    </row>
    <row r="118" spans="1:20" ht="78.75" customHeight="1">
      <c r="A118" s="62"/>
      <c r="B118" s="62"/>
      <c r="C118" s="46" t="s">
        <v>272</v>
      </c>
      <c r="D118" s="61" t="s">
        <v>278</v>
      </c>
      <c r="E118" s="35"/>
      <c r="F118" s="46"/>
      <c r="G118" s="33">
        <f t="shared" si="13"/>
        <v>4269.84</v>
      </c>
      <c r="H118" s="63"/>
      <c r="I118" s="63"/>
      <c r="J118" s="63"/>
      <c r="K118" s="63"/>
      <c r="L118" s="63"/>
      <c r="M118" s="63"/>
      <c r="N118" s="63"/>
      <c r="O118" s="63"/>
      <c r="P118" s="63"/>
      <c r="Q118" s="34">
        <f>4021.4+248.44</f>
        <v>4269.84</v>
      </c>
      <c r="R118" s="63"/>
      <c r="S118" s="63"/>
      <c r="T118" s="42"/>
    </row>
    <row r="119" ht="78.75" customHeight="1">
      <c r="G119" s="31"/>
    </row>
    <row r="120" ht="78.75" customHeight="1"/>
    <row r="121" ht="78.75" customHeight="1"/>
    <row r="122" ht="78.75" customHeight="1"/>
    <row r="123" ht="78.75" customHeight="1"/>
    <row r="124" ht="78.75" customHeight="1"/>
    <row r="125" ht="78.75" customHeight="1"/>
    <row r="126" ht="78.75" customHeight="1"/>
    <row r="127" ht="78.75" customHeight="1"/>
    <row r="128" ht="78.75" customHeight="1"/>
    <row r="129" ht="78.75" customHeight="1"/>
    <row r="130" ht="78.75" customHeight="1"/>
    <row r="131" ht="78.75" customHeight="1"/>
    <row r="132" ht="78.75" customHeight="1"/>
  </sheetData>
  <sheetProtection/>
  <autoFilter ref="A7:T118"/>
  <mergeCells count="41">
    <mergeCell ref="A29:A30"/>
    <mergeCell ref="A3:S3"/>
    <mergeCell ref="A5:S5"/>
    <mergeCell ref="A4:S4"/>
    <mergeCell ref="C29:C30"/>
    <mergeCell ref="D29:D30"/>
    <mergeCell ref="C9:F9"/>
    <mergeCell ref="A26:A27"/>
    <mergeCell ref="A31:A32"/>
    <mergeCell ref="A33:A35"/>
    <mergeCell ref="C38:C39"/>
    <mergeCell ref="C33:C35"/>
    <mergeCell ref="A38:A39"/>
    <mergeCell ref="A36:A37"/>
    <mergeCell ref="C40:C41"/>
    <mergeCell ref="D40:D41"/>
    <mergeCell ref="D31:D32"/>
    <mergeCell ref="C26:C27"/>
    <mergeCell ref="C36:C37"/>
    <mergeCell ref="D36:D37"/>
    <mergeCell ref="C31:C32"/>
    <mergeCell ref="D38:D39"/>
    <mergeCell ref="D33:D35"/>
    <mergeCell ref="D26:D27"/>
    <mergeCell ref="C59:F59"/>
    <mergeCell ref="A42:A43"/>
    <mergeCell ref="C46:C47"/>
    <mergeCell ref="D46:D47"/>
    <mergeCell ref="C42:C43"/>
    <mergeCell ref="D42:D43"/>
    <mergeCell ref="D44:D45"/>
    <mergeCell ref="Q1:S1"/>
    <mergeCell ref="C69:F69"/>
    <mergeCell ref="C52:F52"/>
    <mergeCell ref="A44:A45"/>
    <mergeCell ref="A46:A47"/>
    <mergeCell ref="A49:A50"/>
    <mergeCell ref="C49:C50"/>
    <mergeCell ref="D49:D50"/>
    <mergeCell ref="C44:C45"/>
    <mergeCell ref="A40:A41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42" r:id="rId3"/>
  <ignoredErrors>
    <ignoredError sqref="G4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Azure</cp:lastModifiedBy>
  <cp:lastPrinted>2014-11-06T14:03:43Z</cp:lastPrinted>
  <dcterms:created xsi:type="dcterms:W3CDTF">2013-08-29T11:23:58Z</dcterms:created>
  <dcterms:modified xsi:type="dcterms:W3CDTF">2014-12-13T07:34:19Z</dcterms:modified>
  <cp:category/>
  <cp:version/>
  <cp:contentType/>
  <cp:contentStatus/>
</cp:coreProperties>
</file>